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tables/table2.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Gnestler\Castellan Dropbox\Gregory Nestler\HamAdv-CRP shared folder\CDLAC 2024 - 4% Round 2\4575 Scotts Valley\Att 40\"/>
    </mc:Choice>
  </mc:AlternateContent>
  <xr:revisionPtr revIDLastSave="0" documentId="13_ncr:1_{0993B7B2-00A3-437C-9A8B-54BCD369A210}" xr6:coauthVersionLast="47" xr6:coauthVersionMax="47" xr10:uidLastSave="{00000000-0000-0000-0000-000000000000}"/>
  <bookViews>
    <workbookView xWindow="-28920" yWindow="-90" windowWidth="29040" windowHeight="15840" firstSheet="8" activeTab="9"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CalHFA Addendum" sheetId="27" r:id="rId8"/>
    <sheet name="Points System" sheetId="20" r:id="rId9"/>
    <sheet name="Tie Breaker" sheetId="21"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7">#REF!</definedName>
    <definedName name="bedrooms">Application!$BV$489:$CB$489</definedName>
    <definedName name="Counties" localSheetId="1">#REF!</definedName>
    <definedName name="FMRS" localSheetId="1">#REF!</definedName>
    <definedName name="HudFmrs" localSheetId="7">Application!$BX$656:$CB$713</definedName>
    <definedName name="HudFmrs">Application!$CD$490:$CH$547</definedName>
    <definedName name="importme" localSheetId="1">#REF!</definedName>
    <definedName name="ListofSources" localSheetId="7">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9">'Tie Breaker'!$A$1:$I$123</definedName>
    <definedName name="_xlnm.Print_Titles" localSheetId="6">'Sources and Basis Breakdown'!$1:$2</definedName>
    <definedName name="_xlnm.Print_Titles" localSheetId="5">'Sources and Uses Budget'!$1:$2</definedName>
    <definedName name="_xlnm.Print_Titles" localSheetId="9">'Tie Breaker'!$1:$7</definedName>
    <definedName name="PRINT1" localSheetId="1">#REF!</definedName>
    <definedName name="PRINT2" localSheetId="1">#REF!</definedName>
    <definedName name="PRINT3" localSheetId="1">#REF!</definedName>
    <definedName name="PRINT4" localSheetId="1">#REF!</definedName>
    <definedName name="TC_Rent" localSheetId="7">#REF!</definedName>
    <definedName name="TC_Rent" localSheetId="1">#REF!</definedName>
    <definedName name="TC_Rent">Application!$BV$490:$CB$547</definedName>
    <definedName name="TcacRents" localSheetId="7">Application!$BQ$656:$BV$713</definedName>
    <definedName name="TcacRents">Application!$BW$490:$CB$547</definedName>
    <definedName name="UnitSizes" localSheetId="7">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8"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8"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8"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8" i="20" l="1"/>
  <c r="N217" i="20"/>
  <c r="N216" i="20"/>
  <c r="N215" i="20"/>
  <c r="N214" i="20"/>
  <c r="N213" i="20"/>
  <c r="AG446" i="3" l="1"/>
  <c r="AG443" i="3"/>
  <c r="K727" i="3"/>
  <c r="K726" i="3"/>
  <c r="K725" i="3"/>
  <c r="K723" i="3"/>
  <c r="K722" i="3"/>
  <c r="C68" i="7" l="1"/>
  <c r="M237" i="3"/>
  <c r="M236" i="3"/>
  <c r="M235" i="3"/>
  <c r="M234" i="3"/>
  <c r="M233" i="3"/>
  <c r="G581" i="3"/>
  <c r="G579" i="3"/>
  <c r="G578" i="3"/>
  <c r="F30" i="4" l="1"/>
  <c r="F29" i="4" s="1"/>
  <c r="E29" i="4" s="1"/>
  <c r="F9" i="8"/>
  <c r="F6" i="8"/>
  <c r="F13" i="8" l="1"/>
  <c r="T218" i="20" l="1"/>
  <c r="T217" i="20"/>
  <c r="T216" i="20"/>
  <c r="T215" i="20"/>
  <c r="T214" i="20"/>
  <c r="T213" i="20"/>
  <c r="F90" i="13"/>
  <c r="F91" i="13"/>
  <c r="F92" i="13"/>
  <c r="F93" i="13"/>
  <c r="F94" i="13"/>
  <c r="F89" i="13"/>
  <c r="F84" i="13"/>
  <c r="C84" i="13"/>
  <c r="C87" i="13"/>
  <c r="C89" i="13"/>
  <c r="C90" i="13"/>
  <c r="C91" i="13"/>
  <c r="C92" i="13"/>
  <c r="C93" i="13"/>
  <c r="F79" i="13"/>
  <c r="C79" i="13"/>
  <c r="F69" i="13"/>
  <c r="C69" i="13"/>
  <c r="C65" i="13"/>
  <c r="F65" i="13"/>
  <c r="C59" i="13"/>
  <c r="C60" i="13"/>
  <c r="C61" i="13"/>
  <c r="C58" i="13"/>
  <c r="F47" i="13"/>
  <c r="F50" i="13"/>
  <c r="F51" i="13"/>
  <c r="F52" i="13"/>
  <c r="F53" i="13"/>
  <c r="C47" i="13"/>
  <c r="C50" i="13"/>
  <c r="C51" i="13"/>
  <c r="C52" i="13"/>
  <c r="C53" i="13"/>
  <c r="F43" i="13"/>
  <c r="C43" i="13"/>
  <c r="F40" i="13"/>
  <c r="C40" i="13"/>
  <c r="F34" i="13"/>
  <c r="F36" i="13"/>
  <c r="F10" i="13"/>
  <c r="C34" i="13"/>
  <c r="C36" i="13"/>
  <c r="C37" i="13"/>
  <c r="C29" i="13"/>
  <c r="C10" i="13"/>
  <c r="C4" i="13"/>
  <c r="C93" i="4" l="1"/>
  <c r="E93" i="4" s="1"/>
  <c r="S87" i="4"/>
  <c r="S84" i="4"/>
  <c r="E85" i="4"/>
  <c r="E86" i="4"/>
  <c r="E87" i="4"/>
  <c r="E88" i="4"/>
  <c r="E89" i="4"/>
  <c r="E90" i="4"/>
  <c r="E91" i="4"/>
  <c r="E92" i="4"/>
  <c r="E94" i="4"/>
  <c r="E95" i="4"/>
  <c r="E84" i="4"/>
  <c r="E83" i="4"/>
  <c r="S79" i="4"/>
  <c r="E80" i="4"/>
  <c r="E79" i="4"/>
  <c r="E75" i="4"/>
  <c r="C69" i="4"/>
  <c r="E69" i="4" s="1"/>
  <c r="S66" i="4"/>
  <c r="S67" i="4"/>
  <c r="S68" i="4"/>
  <c r="S65" i="4"/>
  <c r="E66" i="4"/>
  <c r="E67" i="4"/>
  <c r="E68" i="4"/>
  <c r="E65" i="4"/>
  <c r="E61" i="4"/>
  <c r="E58" i="4"/>
  <c r="E46" i="4"/>
  <c r="E47" i="4"/>
  <c r="E48" i="4"/>
  <c r="E49" i="4"/>
  <c r="E50" i="4"/>
  <c r="E51" i="4"/>
  <c r="E52" i="4"/>
  <c r="E53" i="4"/>
  <c r="E45" i="4"/>
  <c r="S43" i="4"/>
  <c r="E43" i="4"/>
  <c r="S40" i="4"/>
  <c r="E40" i="4"/>
  <c r="S34" i="4"/>
  <c r="S36" i="4"/>
  <c r="S10" i="4"/>
  <c r="C33" i="4"/>
  <c r="E33" i="4" s="1"/>
  <c r="E34" i="4"/>
  <c r="E35" i="4"/>
  <c r="E36" i="4"/>
  <c r="E32" i="4"/>
  <c r="E31" i="4"/>
  <c r="AA918" i="3"/>
  <c r="AA917" i="3"/>
  <c r="Q627" i="3"/>
  <c r="T627" i="3"/>
  <c r="H333" i="3" l="1"/>
  <c r="H331" i="3"/>
  <c r="H293" i="3"/>
  <c r="H291" i="3"/>
  <c r="H288" i="3"/>
  <c r="I13" i="2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I11" i="8"/>
  <c r="J11" i="8" s="1"/>
  <c r="J10" i="8"/>
  <c r="I10" i="8"/>
  <c r="I9" i="8"/>
  <c r="J9" i="8" s="1"/>
  <c r="I8" i="8"/>
  <c r="J8" i="8" s="1"/>
  <c r="J7" i="8"/>
  <c r="I7" i="8"/>
  <c r="I6" i="8"/>
  <c r="J6" i="8" s="1"/>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4" i="11"/>
  <c r="B101" i="11"/>
  <c r="B104" i="11"/>
  <c r="C85" i="11"/>
  <c r="C86" i="11"/>
  <c r="C87" i="11"/>
  <c r="C88" i="11"/>
  <c r="C89" i="11"/>
  <c r="C90" i="11"/>
  <c r="D90" i="11" s="1"/>
  <c r="C91" i="11"/>
  <c r="C92" i="11"/>
  <c r="C93" i="11"/>
  <c r="C94" i="11"/>
  <c r="D94" i="11" s="1"/>
  <c r="C95" i="11"/>
  <c r="C96" i="11"/>
  <c r="D96" i="11" s="1"/>
  <c r="B85" i="11"/>
  <c r="B86" i="11"/>
  <c r="B87" i="11"/>
  <c r="B88" i="11"/>
  <c r="B89" i="11"/>
  <c r="B90" i="11"/>
  <c r="B91" i="11"/>
  <c r="D91" i="11" s="1"/>
  <c r="B92" i="11"/>
  <c r="B93" i="11"/>
  <c r="B94" i="11"/>
  <c r="B95" i="11"/>
  <c r="B96" i="11"/>
  <c r="A70" i="11"/>
  <c r="C67" i="11"/>
  <c r="C68" i="11"/>
  <c r="C69" i="11"/>
  <c r="C70" i="11"/>
  <c r="B67" i="11"/>
  <c r="B68" i="11"/>
  <c r="B69" i="11"/>
  <c r="B70" i="11"/>
  <c r="A62" i="11"/>
  <c r="A54" i="11"/>
  <c r="A38" i="11"/>
  <c r="A26" i="11"/>
  <c r="C31" i="11"/>
  <c r="C32" i="11"/>
  <c r="C33" i="11"/>
  <c r="C34" i="11"/>
  <c r="D34" i="11" s="1"/>
  <c r="C35" i="11"/>
  <c r="C36" i="11"/>
  <c r="C37" i="11"/>
  <c r="C38" i="11"/>
  <c r="B31" i="11"/>
  <c r="B32" i="11"/>
  <c r="B33" i="11"/>
  <c r="B34" i="1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3" i="13"/>
  <c r="A69" i="13"/>
  <c r="H66" i="13"/>
  <c r="H67" i="13"/>
  <c r="H68" i="13"/>
  <c r="H69" i="13"/>
  <c r="E66" i="13"/>
  <c r="E67" i="13"/>
  <c r="E68" i="13"/>
  <c r="B66" i="13"/>
  <c r="B67" i="13"/>
  <c r="B68" i="13"/>
  <c r="B69" i="13"/>
  <c r="A53" i="13"/>
  <c r="H36" i="13"/>
  <c r="E36" i="13"/>
  <c r="B36" i="13"/>
  <c r="H24" i="13"/>
  <c r="E24" i="13"/>
  <c r="B24" i="13"/>
  <c r="B99" i="4"/>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G58" i="7" s="1"/>
  <c r="I57" i="7"/>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11" i="4" s="1"/>
  <c r="R91" i="4"/>
  <c r="S91" i="4" s="1"/>
  <c r="E91" i="13" s="1"/>
  <c r="R84" i="4"/>
  <c r="B59" i="4"/>
  <c r="C80" i="11"/>
  <c r="C81" i="11"/>
  <c r="C82" i="11" s="1"/>
  <c r="B80" i="11"/>
  <c r="B81" i="11"/>
  <c r="B82" i="11" s="1"/>
  <c r="I96" i="13"/>
  <c r="J96" i="13"/>
  <c r="J81" i="13"/>
  <c r="I81" i="13"/>
  <c r="G81" i="13"/>
  <c r="D81" i="13"/>
  <c r="H80" i="13"/>
  <c r="B80" i="13"/>
  <c r="C80" i="13" s="1"/>
  <c r="C81" i="13" s="1"/>
  <c r="R80" i="4"/>
  <c r="S80" i="4" s="1"/>
  <c r="E80" i="13" s="1"/>
  <c r="F80" i="13" s="1"/>
  <c r="F81" i="13" s="1"/>
  <c r="R79" i="4"/>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4" i="13"/>
  <c r="E87" i="13"/>
  <c r="E84" i="13"/>
  <c r="E79" i="13"/>
  <c r="E65" i="13"/>
  <c r="E46" i="13"/>
  <c r="F46" i="13" s="1"/>
  <c r="E45" i="13"/>
  <c r="F45" i="13" s="1"/>
  <c r="E43" i="13"/>
  <c r="E41" i="13"/>
  <c r="E40" i="13"/>
  <c r="E34" i="13"/>
  <c r="E27" i="13"/>
  <c r="E25" i="13"/>
  <c r="E23" i="13"/>
  <c r="E22" i="13"/>
  <c r="E21" i="13"/>
  <c r="E20" i="13"/>
  <c r="E19" i="13"/>
  <c r="E18" i="13"/>
  <c r="E17" i="13"/>
  <c r="E15" i="13"/>
  <c r="E14" i="13"/>
  <c r="E13" i="13"/>
  <c r="E10" i="13"/>
  <c r="B99" i="13"/>
  <c r="C99" i="13" s="1"/>
  <c r="C104" i="13" s="1"/>
  <c r="B95" i="13"/>
  <c r="C95" i="13" s="1"/>
  <c r="B94" i="13"/>
  <c r="C94" i="13" s="1"/>
  <c r="B93" i="13"/>
  <c r="B92" i="13"/>
  <c r="B91" i="13"/>
  <c r="B90" i="13"/>
  <c r="B89" i="13"/>
  <c r="B88" i="13"/>
  <c r="C88" i="13" s="1"/>
  <c r="B87" i="13"/>
  <c r="B86" i="13"/>
  <c r="C86" i="13" s="1"/>
  <c r="B85" i="13"/>
  <c r="C85" i="13" s="1"/>
  <c r="B84" i="13"/>
  <c r="B83" i="13"/>
  <c r="C83" i="13" s="1"/>
  <c r="B79" i="13"/>
  <c r="B76" i="13"/>
  <c r="B75" i="13"/>
  <c r="C75" i="13" s="1"/>
  <c r="C77" i="13" s="1"/>
  <c r="B74" i="13"/>
  <c r="B73" i="13"/>
  <c r="B72" i="13"/>
  <c r="B65" i="13"/>
  <c r="B61" i="13"/>
  <c r="B60" i="13"/>
  <c r="B59" i="13"/>
  <c r="B58" i="13"/>
  <c r="B57" i="13"/>
  <c r="B56" i="13"/>
  <c r="B53" i="13"/>
  <c r="B52" i="13"/>
  <c r="B51" i="13"/>
  <c r="B50" i="13"/>
  <c r="B49" i="13"/>
  <c r="C49" i="13" s="1"/>
  <c r="B48" i="13"/>
  <c r="C48" i="13" s="1"/>
  <c r="B47" i="13"/>
  <c r="B46" i="13"/>
  <c r="C46" i="13" s="1"/>
  <c r="B45" i="13"/>
  <c r="C45" i="13" s="1"/>
  <c r="B43" i="13"/>
  <c r="C42" i="4"/>
  <c r="B42" i="13"/>
  <c r="B41" i="13"/>
  <c r="B40" i="13"/>
  <c r="B37" i="13"/>
  <c r="B35" i="13"/>
  <c r="C35" i="13" s="1"/>
  <c r="B34" i="13"/>
  <c r="B33" i="13"/>
  <c r="C33" i="13" s="1"/>
  <c r="B32" i="13"/>
  <c r="C32" i="13" s="1"/>
  <c r="B31" i="13"/>
  <c r="C31" i="13" s="1"/>
  <c r="B30" i="13"/>
  <c r="C30" i="13" s="1"/>
  <c r="B29" i="13"/>
  <c r="B27" i="13"/>
  <c r="B25" i="13"/>
  <c r="B23" i="13"/>
  <c r="B22" i="13"/>
  <c r="B21" i="13"/>
  <c r="B20" i="13"/>
  <c r="B19" i="13"/>
  <c r="B18" i="13"/>
  <c r="B17" i="13"/>
  <c r="B5" i="13"/>
  <c r="B6" i="13"/>
  <c r="B7" i="13"/>
  <c r="C8" i="4"/>
  <c r="B8" i="13"/>
  <c r="B9" i="13"/>
  <c r="B10" i="13"/>
  <c r="B13" i="13"/>
  <c r="B14" i="13"/>
  <c r="B15" i="13"/>
  <c r="B4" i="13"/>
  <c r="J104" i="13"/>
  <c r="I104" i="13"/>
  <c r="G104" i="13"/>
  <c r="D104" i="13"/>
  <c r="G96" i="13"/>
  <c r="D96" i="13"/>
  <c r="D77" i="13"/>
  <c r="J70" i="13"/>
  <c r="I70" i="13"/>
  <c r="G70" i="13"/>
  <c r="F70" i="13"/>
  <c r="D70" i="13"/>
  <c r="C70" i="13"/>
  <c r="D62" i="13"/>
  <c r="C62" i="13"/>
  <c r="J54" i="13"/>
  <c r="I54" i="13"/>
  <c r="G54" i="13"/>
  <c r="D54" i="13"/>
  <c r="J42" i="13"/>
  <c r="I42" i="13"/>
  <c r="G42" i="13"/>
  <c r="F42" i="13"/>
  <c r="F26" i="13"/>
  <c r="D42" i="13"/>
  <c r="C42" i="13"/>
  <c r="J38" i="13"/>
  <c r="I38" i="13"/>
  <c r="G38" i="13"/>
  <c r="D38" i="13"/>
  <c r="J26" i="13"/>
  <c r="I26" i="13"/>
  <c r="I11" i="13"/>
  <c r="G26" i="13"/>
  <c r="D26" i="13"/>
  <c r="C26" i="13"/>
  <c r="J11" i="13"/>
  <c r="D11" i="13"/>
  <c r="C11" i="13"/>
  <c r="C8" i="13"/>
  <c r="D8" i="13"/>
  <c r="T104" i="4"/>
  <c r="H104" i="13"/>
  <c r="R103" i="4"/>
  <c r="R102" i="4"/>
  <c r="R101" i="4"/>
  <c r="R95" i="4"/>
  <c r="S95" i="4" s="1"/>
  <c r="E95" i="13" s="1"/>
  <c r="F95" i="13" s="1"/>
  <c r="R94" i="4"/>
  <c r="R93" i="4"/>
  <c r="S93" i="4" s="1"/>
  <c r="E93" i="13" s="1"/>
  <c r="R92" i="4"/>
  <c r="S92" i="4" s="1"/>
  <c r="E92" i="13" s="1"/>
  <c r="R90" i="4"/>
  <c r="S90" i="4" s="1"/>
  <c r="E90" i="13" s="1"/>
  <c r="R89" i="4"/>
  <c r="S89" i="4" s="1"/>
  <c r="E89" i="13" s="1"/>
  <c r="R88" i="4"/>
  <c r="R87" i="4"/>
  <c r="R86" i="4"/>
  <c r="S86" i="4" s="1"/>
  <c r="E86" i="13" s="1"/>
  <c r="F86" i="13" s="1"/>
  <c r="R85" i="4"/>
  <c r="S85" i="4" s="1"/>
  <c r="E85" i="13" s="1"/>
  <c r="F85" i="13" s="1"/>
  <c r="R83" i="4"/>
  <c r="R76" i="4"/>
  <c r="R75" i="4"/>
  <c r="R77" i="4" s="1"/>
  <c r="R72" i="4"/>
  <c r="R73" i="4"/>
  <c r="R74" i="4"/>
  <c r="R69" i="4"/>
  <c r="E69" i="13" s="1"/>
  <c r="R65" i="4"/>
  <c r="R61" i="4"/>
  <c r="R60" i="4"/>
  <c r="R59" i="4"/>
  <c r="R58" i="4"/>
  <c r="R57" i="4"/>
  <c r="R56" i="4"/>
  <c r="R53" i="4"/>
  <c r="S53" i="4" s="1"/>
  <c r="E53" i="13" s="1"/>
  <c r="R52" i="4"/>
  <c r="S52" i="4" s="1"/>
  <c r="E52" i="13" s="1"/>
  <c r="R51" i="4"/>
  <c r="S51" i="4" s="1"/>
  <c r="E51" i="13" s="1"/>
  <c r="R50" i="4"/>
  <c r="E50" i="13" s="1"/>
  <c r="R49" i="4"/>
  <c r="S49" i="4" s="1"/>
  <c r="E49" i="13" s="1"/>
  <c r="F49" i="13" s="1"/>
  <c r="R48" i="4"/>
  <c r="S48" i="4" s="1"/>
  <c r="E48" i="13" s="1"/>
  <c r="F48" i="13" s="1"/>
  <c r="R47" i="4"/>
  <c r="E47" i="13" s="1"/>
  <c r="R46" i="4"/>
  <c r="R45" i="4"/>
  <c r="R43" i="4"/>
  <c r="R41" i="4"/>
  <c r="R40" i="4"/>
  <c r="R42" i="4" s="1"/>
  <c r="R37" i="4"/>
  <c r="S37" i="4" s="1"/>
  <c r="E37" i="13" s="1"/>
  <c r="R35" i="4"/>
  <c r="S35" i="4" s="1"/>
  <c r="E35" i="13" s="1"/>
  <c r="F35" i="13" s="1"/>
  <c r="R34" i="4"/>
  <c r="R33" i="4"/>
  <c r="S33" i="4" s="1"/>
  <c r="E33" i="13" s="1"/>
  <c r="F33" i="13" s="1"/>
  <c r="R32" i="4"/>
  <c r="S32" i="4" s="1"/>
  <c r="E32" i="13" s="1"/>
  <c r="F32" i="13" s="1"/>
  <c r="R31" i="4"/>
  <c r="S31" i="4" s="1"/>
  <c r="E31" i="13" s="1"/>
  <c r="F31" i="13" s="1"/>
  <c r="R30" i="4"/>
  <c r="S30" i="4" s="1"/>
  <c r="E30" i="13" s="1"/>
  <c r="F30" i="13" s="1"/>
  <c r="R29" i="4"/>
  <c r="S29" i="4" s="1"/>
  <c r="E29" i="13" s="1"/>
  <c r="F29" i="13" s="1"/>
  <c r="R27" i="4"/>
  <c r="R25" i="4"/>
  <c r="R23" i="4"/>
  <c r="R22" i="4"/>
  <c r="R21" i="4"/>
  <c r="R20" i="4"/>
  <c r="R19" i="4"/>
  <c r="R18" i="4"/>
  <c r="R17" i="4"/>
  <c r="R15" i="4"/>
  <c r="R14" i="4"/>
  <c r="R13" i="4"/>
  <c r="R9" i="4"/>
  <c r="R7" i="4"/>
  <c r="R6" i="4"/>
  <c r="R5" i="4"/>
  <c r="R4" i="4"/>
  <c r="R8" i="4" s="1"/>
  <c r="B5" i="11"/>
  <c r="B9" i="11" s="1"/>
  <c r="C5" i="11"/>
  <c r="D5" i="11" s="1"/>
  <c r="B6" i="11"/>
  <c r="C6" i="11"/>
  <c r="B7" i="11"/>
  <c r="C7" i="11"/>
  <c r="C8" i="11"/>
  <c r="B8" i="11"/>
  <c r="B10" i="11"/>
  <c r="B11" i="11"/>
  <c r="D11" i="11" s="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B41" i="11"/>
  <c r="C41" i="11"/>
  <c r="D41" i="11" s="1"/>
  <c r="C42" i="11"/>
  <c r="D42" i="11" s="1"/>
  <c r="B42" i="11"/>
  <c r="B44" i="11"/>
  <c r="C44" i="11"/>
  <c r="B46" i="11"/>
  <c r="C46" i="11"/>
  <c r="B47" i="11"/>
  <c r="C47" i="11"/>
  <c r="B48" i="11"/>
  <c r="B49" i="11"/>
  <c r="B50" i="11"/>
  <c r="B51" i="11"/>
  <c r="D51" i="11"/>
  <c r="B52" i="11"/>
  <c r="B53" i="11"/>
  <c r="C48" i="11"/>
  <c r="D48" i="11" s="1"/>
  <c r="C49" i="11"/>
  <c r="D49" i="11" s="1"/>
  <c r="C50" i="11"/>
  <c r="C51" i="11"/>
  <c r="C52" i="11"/>
  <c r="C53" i="11"/>
  <c r="D53" i="11" s="1"/>
  <c r="B57" i="11"/>
  <c r="C57" i="11"/>
  <c r="B58" i="11"/>
  <c r="C58" i="11"/>
  <c r="B59" i="11"/>
  <c r="C59" i="11"/>
  <c r="B60" i="11"/>
  <c r="C60" i="11"/>
  <c r="B61" i="11"/>
  <c r="C61" i="11"/>
  <c r="B62" i="11"/>
  <c r="C62" i="11"/>
  <c r="D62" i="11" s="1"/>
  <c r="B66" i="11"/>
  <c r="C66" i="11"/>
  <c r="B73" i="11"/>
  <c r="C73" i="11"/>
  <c r="B74" i="11"/>
  <c r="C74" i="11"/>
  <c r="B75" i="11"/>
  <c r="C75" i="11"/>
  <c r="B76" i="11"/>
  <c r="B78" i="11" s="1"/>
  <c r="C76" i="11"/>
  <c r="C78" i="11" s="1"/>
  <c r="D78" i="11" s="1"/>
  <c r="B77" i="11"/>
  <c r="C77" i="11"/>
  <c r="B84" i="11"/>
  <c r="C84" i="11"/>
  <c r="B100" i="11"/>
  <c r="C100" i="11"/>
  <c r="A4" i="8"/>
  <c r="D4" i="8"/>
  <c r="A5" i="8"/>
  <c r="D5" i="8"/>
  <c r="I5" i="8" s="1"/>
  <c r="J5" i="8" s="1"/>
  <c r="A6" i="8"/>
  <c r="D6" i="8"/>
  <c r="A7" i="8"/>
  <c r="D7" i="8"/>
  <c r="A8" i="8"/>
  <c r="D8" i="8"/>
  <c r="A9" i="8"/>
  <c r="D9" i="8"/>
  <c r="A10" i="8"/>
  <c r="D10" i="8"/>
  <c r="A11" i="8"/>
  <c r="D11" i="8"/>
  <c r="A12" i="8"/>
  <c r="D12" i="8"/>
  <c r="I12" i="8" s="1"/>
  <c r="J12" i="8" s="1"/>
  <c r="A13" i="8"/>
  <c r="D13" i="8"/>
  <c r="I13" i="8" s="1"/>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s="1"/>
  <c r="T42" i="4"/>
  <c r="H42" i="13"/>
  <c r="T54" i="4"/>
  <c r="H54" i="13"/>
  <c r="T70" i="4"/>
  <c r="H70" i="13"/>
  <c r="T96" i="4"/>
  <c r="H96" i="13"/>
  <c r="C11" i="4"/>
  <c r="B11" i="4" s="1"/>
  <c r="B12" i="4" s="1"/>
  <c r="B26" i="13"/>
  <c r="C38" i="4"/>
  <c r="C54" i="4"/>
  <c r="B54" i="4" s="1"/>
  <c r="C62" i="4"/>
  <c r="B62" i="13" s="1"/>
  <c r="C77" i="4"/>
  <c r="B77" i="13" s="1"/>
  <c r="C96" i="4"/>
  <c r="B96" i="13" s="1"/>
  <c r="D8" i="4"/>
  <c r="D11" i="4"/>
  <c r="D26" i="4"/>
  <c r="D38" i="4"/>
  <c r="D42" i="4"/>
  <c r="D54" i="4"/>
  <c r="D62" i="4"/>
  <c r="D77" i="4"/>
  <c r="D96" i="4"/>
  <c r="D104" i="4"/>
  <c r="E26" i="13"/>
  <c r="S42" i="4"/>
  <c r="E42"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E12" i="4" s="1"/>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3" i="4"/>
  <c r="F104" i="4"/>
  <c r="H104" i="4"/>
  <c r="I104" i="4"/>
  <c r="K104" i="4"/>
  <c r="L104" i="4"/>
  <c r="Q104" i="4"/>
  <c r="E108" i="4"/>
  <c r="F108" i="4"/>
  <c r="G108" i="4"/>
  <c r="E99" i="4" s="1"/>
  <c r="R99" i="4" s="1"/>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B81" i="13"/>
  <c r="D54" i="11"/>
  <c r="J63" i="13"/>
  <c r="J97" i="13"/>
  <c r="J105" i="13"/>
  <c r="J107" i="13"/>
  <c r="L12" i="4"/>
  <c r="D93" i="11"/>
  <c r="D70" i="11"/>
  <c r="D80" i="11"/>
  <c r="I12" i="4"/>
  <c r="G12" i="4"/>
  <c r="D6" i="11"/>
  <c r="L63" i="4"/>
  <c r="L97" i="4"/>
  <c r="L105" i="4"/>
  <c r="Q12" i="4"/>
  <c r="O63" i="4"/>
  <c r="O97" i="4"/>
  <c r="O105" i="4"/>
  <c r="D18" i="11"/>
  <c r="R70" i="4"/>
  <c r="B8" i="4"/>
  <c r="N187" i="27" s="1"/>
  <c r="D10" i="11"/>
  <c r="D36" i="11"/>
  <c r="G63" i="13"/>
  <c r="G97" i="13"/>
  <c r="G105" i="13"/>
  <c r="G107" i="13"/>
  <c r="D61" i="11"/>
  <c r="D57" i="11"/>
  <c r="D20" i="11"/>
  <c r="D8" i="11"/>
  <c r="D85" i="11"/>
  <c r="B43" i="11"/>
  <c r="K12" i="4"/>
  <c r="C12" i="13"/>
  <c r="D63" i="4"/>
  <c r="D97" i="4" s="1"/>
  <c r="D7" i="11"/>
  <c r="J12" i="4"/>
  <c r="D22" i="11"/>
  <c r="O12" i="4"/>
  <c r="I63" i="4"/>
  <c r="I97" i="4"/>
  <c r="I105" i="4"/>
  <c r="D95" i="11"/>
  <c r="D25" i="11"/>
  <c r="B11" i="13"/>
  <c r="D12" i="4"/>
  <c r="H12" i="4"/>
  <c r="D23" i="11"/>
  <c r="D19" i="11"/>
  <c r="D73" i="11"/>
  <c r="D44" i="11"/>
  <c r="D35" i="11"/>
  <c r="D15" i="11"/>
  <c r="D63" i="13"/>
  <c r="D97" i="13"/>
  <c r="D105" i="13"/>
  <c r="D14" i="11"/>
  <c r="Q63" i="4"/>
  <c r="Q97" i="4"/>
  <c r="Q105" i="4"/>
  <c r="D87" i="11"/>
  <c r="N63" i="4"/>
  <c r="N97" i="4"/>
  <c r="N105" i="4"/>
  <c r="N12" i="4"/>
  <c r="H63" i="4"/>
  <c r="H97" i="4"/>
  <c r="H105" i="4"/>
  <c r="F12" i="4"/>
  <c r="D60" i="11"/>
  <c r="M12" i="4"/>
  <c r="D74" i="11"/>
  <c r="D59" i="11"/>
  <c r="P63" i="4"/>
  <c r="P97" i="4"/>
  <c r="P105" i="4"/>
  <c r="C63" i="11"/>
  <c r="C9" i="11"/>
  <c r="D12" i="13"/>
  <c r="D58" i="11"/>
  <c r="D24" i="11"/>
  <c r="D101" i="11"/>
  <c r="R62" i="4"/>
  <c r="D66" i="11"/>
  <c r="D92" i="11"/>
  <c r="D75" i="11"/>
  <c r="B71" i="11"/>
  <c r="D28" i="11"/>
  <c r="D88" i="11"/>
  <c r="D21" i="11"/>
  <c r="D16" i="11"/>
  <c r="B12" i="11"/>
  <c r="D12" i="11" s="1"/>
  <c r="R26" i="4"/>
  <c r="AD199" i="20"/>
  <c r="B42" i="4"/>
  <c r="D77" i="11"/>
  <c r="C71" i="11"/>
  <c r="M63" i="4"/>
  <c r="M97" i="4"/>
  <c r="M105" i="4"/>
  <c r="G63" i="4"/>
  <c r="G97" i="4"/>
  <c r="J63" i="4"/>
  <c r="J97" i="4"/>
  <c r="J105" i="4"/>
  <c r="C12" i="11"/>
  <c r="K63" i="4"/>
  <c r="K97" i="4"/>
  <c r="K105" i="4"/>
  <c r="D104" i="11"/>
  <c r="C12" i="4"/>
  <c r="B12" i="13" s="1"/>
  <c r="B77" i="4" l="1"/>
  <c r="D33" i="11"/>
  <c r="C38" i="13"/>
  <c r="D89" i="11"/>
  <c r="C96" i="13"/>
  <c r="S81" i="4"/>
  <c r="E81" i="13" s="1"/>
  <c r="I58" i="7"/>
  <c r="K53" i="7"/>
  <c r="F54" i="13"/>
  <c r="D100" i="11"/>
  <c r="F96" i="13"/>
  <c r="D86" i="11"/>
  <c r="D81" i="11"/>
  <c r="D50" i="11"/>
  <c r="C54" i="13"/>
  <c r="C63" i="13" s="1"/>
  <c r="C97" i="13" s="1"/>
  <c r="C105" i="13" s="1"/>
  <c r="D46" i="11"/>
  <c r="D31" i="11"/>
  <c r="C39" i="11"/>
  <c r="D105" i="4"/>
  <c r="F38" i="13"/>
  <c r="G13" i="8"/>
  <c r="J13" i="8"/>
  <c r="AH727" i="3"/>
  <c r="E104" i="4"/>
  <c r="S99" i="4"/>
  <c r="R104" i="4"/>
  <c r="G104" i="4"/>
  <c r="G105" i="4" s="1"/>
  <c r="S96" i="4"/>
  <c r="E96" i="13" s="1"/>
  <c r="B96" i="4"/>
  <c r="B97" i="11"/>
  <c r="N186" i="27"/>
  <c r="C97" i="11"/>
  <c r="N193" i="27"/>
  <c r="R96" i="4"/>
  <c r="D84" i="11"/>
  <c r="R81" i="4"/>
  <c r="D82" i="11"/>
  <c r="D76" i="11"/>
  <c r="D71" i="11"/>
  <c r="B70" i="4"/>
  <c r="B63" i="11"/>
  <c r="D63" i="11" s="1"/>
  <c r="B62" i="4"/>
  <c r="D52" i="11"/>
  <c r="D38" i="11"/>
  <c r="S38" i="4"/>
  <c r="E38" i="13" s="1"/>
  <c r="B38" i="4"/>
  <c r="B63" i="4" s="1"/>
  <c r="B39" i="11"/>
  <c r="R54" i="4"/>
  <c r="S54" i="4"/>
  <c r="E54" i="13" s="1"/>
  <c r="C55" i="11"/>
  <c r="D47" i="11"/>
  <c r="B55" i="11"/>
  <c r="B54" i="13"/>
  <c r="E63" i="4"/>
  <c r="E97" i="4" s="1"/>
  <c r="C43" i="11"/>
  <c r="D43" i="11" s="1"/>
  <c r="T63" i="4"/>
  <c r="R38" i="4"/>
  <c r="D32" i="11"/>
  <c r="B38" i="13"/>
  <c r="B13" i="11"/>
  <c r="R12" i="4"/>
  <c r="D9" i="11"/>
  <c r="C13" i="11"/>
  <c r="D13" i="11" s="1"/>
  <c r="AH719" i="3"/>
  <c r="AH726" i="3"/>
  <c r="AH725" i="3"/>
  <c r="AH718" i="3"/>
  <c r="AH724" i="3"/>
  <c r="AH723" i="3"/>
  <c r="AH722" i="3"/>
  <c r="AH721" i="3"/>
  <c r="AH720"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M959" i="3" s="1"/>
  <c r="M960" i="3" s="1"/>
  <c r="G53" i="21"/>
  <c r="E24" i="21"/>
  <c r="E22" i="21"/>
  <c r="F22" i="21" s="1"/>
  <c r="G40" i="8"/>
  <c r="I15" i="7"/>
  <c r="E26" i="21"/>
  <c r="E23" i="21"/>
  <c r="F23" i="21" s="1"/>
  <c r="G23" i="21" s="1"/>
  <c r="C64" i="11" l="1"/>
  <c r="C98" i="11" s="1"/>
  <c r="M53" i="7"/>
  <c r="K58" i="7"/>
  <c r="F63" i="13"/>
  <c r="F97" i="13" s="1"/>
  <c r="E105" i="4"/>
  <c r="E99" i="13"/>
  <c r="F99" i="13" s="1"/>
  <c r="F104" i="13" s="1"/>
  <c r="S104" i="4"/>
  <c r="E104" i="13" s="1"/>
  <c r="R63" i="4"/>
  <c r="R97" i="4" s="1"/>
  <c r="R105" i="4" s="1"/>
  <c r="D97" i="11"/>
  <c r="B64" i="11"/>
  <c r="B98" i="11" s="1"/>
  <c r="S63" i="4"/>
  <c r="E63" i="13" s="1"/>
  <c r="D55" i="11"/>
  <c r="D39" i="11"/>
  <c r="H63" i="13"/>
  <c r="T97" i="4"/>
  <c r="C97" i="4"/>
  <c r="AY1004" i="3"/>
  <c r="AJ610" i="20"/>
  <c r="G62" i="2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O53" i="7" l="1"/>
  <c r="M58" i="7"/>
  <c r="F105" i="13"/>
  <c r="F107" i="13" s="1"/>
  <c r="D64" i="11"/>
  <c r="S97" i="4"/>
  <c r="S105" i="4" s="1"/>
  <c r="E105" i="13" s="1"/>
  <c r="B97" i="4"/>
  <c r="B97" i="13"/>
  <c r="T105" i="4"/>
  <c r="H97" i="13"/>
  <c r="O24" i="21"/>
  <c r="P24" i="21" s="1" a="1"/>
  <c r="P24" i="21" s="1"/>
  <c r="R24" i="21" s="1"/>
  <c r="O28" i="21"/>
  <c r="P28" i="21" s="1" a="1"/>
  <c r="P28" i="21" s="1"/>
  <c r="R28" i="21" s="1"/>
  <c r="O27" i="21"/>
  <c r="P27" i="21" s="1" a="1"/>
  <c r="P27" i="21" s="1"/>
  <c r="R27" i="21" s="1"/>
  <c r="O25" i="21"/>
  <c r="P25" i="21" s="1" a="1"/>
  <c r="P25" i="21" s="1"/>
  <c r="R25" i="21" s="1"/>
  <c r="O26" i="21"/>
  <c r="P26" i="21" s="1" a="1"/>
  <c r="P26" i="21" s="1"/>
  <c r="R26"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8" i="7" l="1"/>
  <c r="Q53" i="7"/>
  <c r="S107" i="4"/>
  <c r="E107" i="13" s="1"/>
  <c r="T11" i="15" s="1"/>
  <c r="T23" i="15" s="1"/>
  <c r="T26" i="15" s="1"/>
  <c r="T28" i="15" s="1"/>
  <c r="E97" i="13"/>
  <c r="T107" i="4"/>
  <c r="H105" i="13"/>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S53" i="7" l="1"/>
  <c r="Q58" i="7"/>
  <c r="AJ700" i="20"/>
  <c r="AK783" i="20" s="1"/>
  <c r="T808" i="20" s="1"/>
  <c r="AF808" i="20" s="1"/>
  <c r="Y11" i="15"/>
  <c r="Y23" i="15" s="1"/>
  <c r="Y26" i="15" s="1"/>
  <c r="Y28" i="15" s="1"/>
  <c r="Y64" i="15" s="1"/>
  <c r="Y68" i="15" s="1"/>
  <c r="Y69" i="15" s="1"/>
  <c r="AC456" i="3"/>
  <c r="AF540" i="20"/>
  <c r="H107" i="13"/>
  <c r="AJ1044" i="3"/>
  <c r="AP541" i="20" s="1"/>
  <c r="AJ1048" i="3"/>
  <c r="AP542" i="20" s="1"/>
  <c r="B1059" i="3"/>
  <c r="AJ1028" i="3"/>
  <c r="AJ1040" i="3"/>
  <c r="AJ993" i="3"/>
  <c r="AJ1035" i="3"/>
  <c r="I14" i="21" s="1"/>
  <c r="AP539" i="20"/>
  <c r="K4" i="7"/>
  <c r="M4" i="7" s="1"/>
  <c r="E45" i="7"/>
  <c r="E48" i="7" s="1"/>
  <c r="G45" i="7"/>
  <c r="G49" i="7"/>
  <c r="K6" i="7"/>
  <c r="I7" i="7"/>
  <c r="I11" i="7" s="1"/>
  <c r="I37" i="7" s="1"/>
  <c r="G24" i="21"/>
  <c r="F27" i="21"/>
  <c r="G27" i="21"/>
  <c r="O22" i="7"/>
  <c r="O35" i="7" s="1"/>
  <c r="Q15" i="7"/>
  <c r="O9" i="7"/>
  <c r="Q8" i="7"/>
  <c r="U53" i="7" l="1"/>
  <c r="S58" i="7"/>
  <c r="AD11" i="15"/>
  <c r="AD23" i="15" s="1"/>
  <c r="AD26" i="15" s="1"/>
  <c r="AD28" i="15" s="1"/>
  <c r="AI11" i="15"/>
  <c r="AI23" i="15" s="1"/>
  <c r="AI26" i="15" s="1"/>
  <c r="AI28" i="15" s="1"/>
  <c r="AJ1052" i="3"/>
  <c r="T24" i="15" s="1"/>
  <c r="AP543" i="20"/>
  <c r="AZ846" i="3"/>
  <c r="AZ843" i="3"/>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E62" i="7" l="1"/>
  <c r="E66" i="7" s="1"/>
  <c r="W53" i="7"/>
  <c r="U58" i="7"/>
  <c r="Y38" i="15"/>
  <c r="Y40" i="15" s="1"/>
  <c r="T29" i="15"/>
  <c r="AP546" i="20"/>
  <c r="AP545" i="20" s="1"/>
  <c r="AP548" i="20" s="1"/>
  <c r="AF541" i="20" s="1"/>
  <c r="AF542" i="20" s="1"/>
  <c r="AK548" i="20" s="1"/>
  <c r="T807" i="20" s="1"/>
  <c r="AF807" i="20" s="1"/>
  <c r="AZ851" i="3"/>
  <c r="K11" i="7"/>
  <c r="K37" i="7" s="1"/>
  <c r="K45" i="7" s="1"/>
  <c r="O5" i="7"/>
  <c r="Q4" i="7"/>
  <c r="AD38" i="15"/>
  <c r="AD40" i="15" s="1"/>
  <c r="M7" i="7"/>
  <c r="M11" i="7" s="1"/>
  <c r="M37" i="7" s="1"/>
  <c r="O6" i="7"/>
  <c r="I48" i="7"/>
  <c r="I60" i="7"/>
  <c r="I47" i="7"/>
  <c r="G69" i="21"/>
  <c r="G81" i="21"/>
  <c r="G65" i="21"/>
  <c r="S22" i="7"/>
  <c r="S35" i="7" s="1"/>
  <c r="U15" i="7"/>
  <c r="E14" i="21"/>
  <c r="E15" i="21" s="1"/>
  <c r="U8" i="7"/>
  <c r="S9" i="7"/>
  <c r="G62" i="7" l="1"/>
  <c r="G66" i="7" s="1"/>
  <c r="Y53" i="7"/>
  <c r="W58" i="7"/>
  <c r="K49" i="7"/>
  <c r="Y41" i="15"/>
  <c r="E70" i="7"/>
  <c r="E72" i="7" s="1"/>
  <c r="S4" i="7"/>
  <c r="Q5" i="7"/>
  <c r="O7" i="7"/>
  <c r="O11" i="7" s="1"/>
  <c r="O37" i="7" s="1"/>
  <c r="Q6" i="7"/>
  <c r="M45" i="7"/>
  <c r="M49" i="7"/>
  <c r="K47" i="7"/>
  <c r="K60" i="7"/>
  <c r="K48" i="7"/>
  <c r="U22" i="7"/>
  <c r="U35" i="7" s="1"/>
  <c r="W15" i="7"/>
  <c r="G83" i="21"/>
  <c r="E13" i="21" s="1"/>
  <c r="E16" i="21" s="1"/>
  <c r="H3" i="21" s="1"/>
  <c r="U9" i="7"/>
  <c r="W8" i="7"/>
  <c r="G67" i="7" l="1"/>
  <c r="I62" i="7"/>
  <c r="I66" i="7" s="1"/>
  <c r="I68" i="7" s="1"/>
  <c r="G68" i="7"/>
  <c r="Y58" i="7"/>
  <c r="AA53" i="7"/>
  <c r="U4" i="7"/>
  <c r="S5" i="7"/>
  <c r="M48" i="7"/>
  <c r="M47" i="7"/>
  <c r="M60" i="7"/>
  <c r="O45" i="7"/>
  <c r="O49" i="7"/>
  <c r="Q7" i="7"/>
  <c r="Q11" i="7" s="1"/>
  <c r="Q37" i="7" s="1"/>
  <c r="S6" i="7"/>
  <c r="W22" i="7"/>
  <c r="W35" i="7" s="1"/>
  <c r="Y15" i="7"/>
  <c r="W9" i="7"/>
  <c r="Y8" i="7"/>
  <c r="K62" i="7" l="1"/>
  <c r="K66" i="7" s="1"/>
  <c r="G70" i="7"/>
  <c r="G72" i="7" s="1"/>
  <c r="I67" i="7"/>
  <c r="I70" i="7" s="1"/>
  <c r="I72" i="7" s="1"/>
  <c r="AC53" i="7"/>
  <c r="AA58" i="7"/>
  <c r="U5" i="7"/>
  <c r="W4" i="7"/>
  <c r="Q49" i="7"/>
  <c r="Q45" i="7"/>
  <c r="O47" i="7"/>
  <c r="O48" i="7"/>
  <c r="O60" i="7"/>
  <c r="S7" i="7"/>
  <c r="S11" i="7" s="1"/>
  <c r="S37" i="7" s="1"/>
  <c r="U6" i="7"/>
  <c r="Y22" i="7"/>
  <c r="Y35" i="7" s="1"/>
  <c r="AA15" i="7"/>
  <c r="Y9" i="7"/>
  <c r="AA8" i="7"/>
  <c r="K67" i="7" l="1"/>
  <c r="K68" i="7"/>
  <c r="M62" i="7"/>
  <c r="M66" i="7" s="1"/>
  <c r="AC58" i="7"/>
  <c r="AE53" i="7"/>
  <c r="W5" i="7"/>
  <c r="Y4" i="7"/>
  <c r="U7" i="7"/>
  <c r="U11" i="7" s="1"/>
  <c r="U37" i="7" s="1"/>
  <c r="W6" i="7"/>
  <c r="Q60" i="7"/>
  <c r="Q48" i="7"/>
  <c r="Q47" i="7"/>
  <c r="S49" i="7"/>
  <c r="S45" i="7"/>
  <c r="AC15" i="7"/>
  <c r="AA22" i="7"/>
  <c r="AA35" i="7" s="1"/>
  <c r="AC8" i="7"/>
  <c r="AA9" i="7"/>
  <c r="K70" i="7" l="1"/>
  <c r="K72" i="7" s="1"/>
  <c r="M68" i="7"/>
  <c r="O62" i="7"/>
  <c r="O66" i="7" s="1"/>
  <c r="O67" i="7" s="1"/>
  <c r="M67" i="7"/>
  <c r="M70" i="7" s="1"/>
  <c r="M72" i="7" s="1"/>
  <c r="AE58" i="7"/>
  <c r="AG53" i="7"/>
  <c r="AG58" i="7" s="1"/>
  <c r="AA4" i="7"/>
  <c r="Y5" i="7"/>
  <c r="Y6" i="7"/>
  <c r="W7" i="7"/>
  <c r="W11" i="7" s="1"/>
  <c r="W37" i="7" s="1"/>
  <c r="U45" i="7"/>
  <c r="U49" i="7"/>
  <c r="S48" i="7"/>
  <c r="S47" i="7"/>
  <c r="S60" i="7"/>
  <c r="AE15" i="7"/>
  <c r="AC22" i="7"/>
  <c r="AC35" i="7" s="1"/>
  <c r="AC9" i="7"/>
  <c r="AE8" i="7"/>
  <c r="O68" i="7" l="1"/>
  <c r="Q62" i="7"/>
  <c r="Q66" i="7" s="1"/>
  <c r="Q68" i="7" s="1"/>
  <c r="O70" i="7"/>
  <c r="O72" i="7" s="1"/>
  <c r="AA5" i="7"/>
  <c r="AC4" i="7"/>
  <c r="U48" i="7"/>
  <c r="U60" i="7"/>
  <c r="U47" i="7"/>
  <c r="W49" i="7"/>
  <c r="W45" i="7"/>
  <c r="Y7" i="7"/>
  <c r="Y11" i="7" s="1"/>
  <c r="Y37" i="7" s="1"/>
  <c r="AA6" i="7"/>
  <c r="AE22" i="7"/>
  <c r="AE35" i="7" s="1"/>
  <c r="AG15" i="7"/>
  <c r="AG22" i="7" s="1"/>
  <c r="AG35" i="7" s="1"/>
  <c r="AE9" i="7"/>
  <c r="AG8" i="7"/>
  <c r="AG9" i="7" s="1"/>
  <c r="Q67" i="7" l="1"/>
  <c r="S62" i="7"/>
  <c r="S66" i="7" s="1"/>
  <c r="S67" i="7" s="1"/>
  <c r="Q70" i="7"/>
  <c r="Q72" i="7" s="1"/>
  <c r="AC5" i="7"/>
  <c r="AE4" i="7"/>
  <c r="AC6" i="7"/>
  <c r="AA7" i="7"/>
  <c r="AA11" i="7" s="1"/>
  <c r="AA37" i="7" s="1"/>
  <c r="Y49" i="7"/>
  <c r="Y45" i="7"/>
  <c r="W60" i="7"/>
  <c r="W47" i="7"/>
  <c r="W48" i="7"/>
  <c r="U62" i="7" l="1"/>
  <c r="U66" i="7" s="1"/>
  <c r="S68" i="7"/>
  <c r="S70" i="7" s="1"/>
  <c r="S72" i="7" s="1"/>
  <c r="AE5" i="7"/>
  <c r="AG4" i="7"/>
  <c r="AG5" i="7" s="1"/>
  <c r="AA45" i="7"/>
  <c r="AA49" i="7"/>
  <c r="Y47" i="7"/>
  <c r="Y48" i="7"/>
  <c r="Y60" i="7"/>
  <c r="AE6" i="7"/>
  <c r="AC7" i="7"/>
  <c r="AC11" i="7" s="1"/>
  <c r="AC37" i="7" s="1"/>
  <c r="W62" i="7" l="1"/>
  <c r="W66" i="7" s="1"/>
  <c r="W67" i="7" s="1"/>
  <c r="U67" i="7"/>
  <c r="U68" i="7"/>
  <c r="AA60" i="7"/>
  <c r="AA47" i="7"/>
  <c r="AA48" i="7"/>
  <c r="AC45" i="7"/>
  <c r="AC49" i="7"/>
  <c r="AE7" i="7"/>
  <c r="AE11" i="7" s="1"/>
  <c r="AE37" i="7" s="1"/>
  <c r="AG6" i="7"/>
  <c r="U70" i="7" l="1"/>
  <c r="U72" i="7" s="1"/>
  <c r="Y62" i="7"/>
  <c r="W68" i="7"/>
  <c r="W70" i="7" s="1"/>
  <c r="W72" i="7" s="1"/>
  <c r="Y66" i="7"/>
  <c r="Y68" i="7" s="1"/>
  <c r="AA62" i="7"/>
  <c r="AA66" i="7" s="1"/>
  <c r="AG7" i="7"/>
  <c r="AG11" i="7" s="1"/>
  <c r="AG37" i="7" s="1"/>
  <c r="AE49" i="7"/>
  <c r="AE45" i="7"/>
  <c r="AC60" i="7"/>
  <c r="AC48" i="7"/>
  <c r="AC47" i="7"/>
  <c r="Y67" i="7" l="1"/>
  <c r="Y70" i="7" s="1"/>
  <c r="Y72" i="7" s="1"/>
  <c r="AA67" i="7"/>
  <c r="AA68" i="7"/>
  <c r="AC62" i="7"/>
  <c r="AE47" i="7"/>
  <c r="AE60" i="7"/>
  <c r="AE48" i="7"/>
  <c r="AG49" i="7"/>
  <c r="AG45" i="7"/>
  <c r="AA70" i="7" l="1"/>
  <c r="AA72" i="7" s="1"/>
  <c r="AC66" i="7"/>
  <c r="AC67" i="7" s="1"/>
  <c r="AE62" i="7"/>
  <c r="AG48" i="7"/>
  <c r="AG60" i="7"/>
  <c r="AG47" i="7"/>
  <c r="AE66" i="7" l="1"/>
  <c r="AE68" i="7" s="1"/>
  <c r="AC68" i="7"/>
  <c r="AC70" i="7" s="1"/>
  <c r="AC72" i="7" s="1"/>
  <c r="AG62" i="7"/>
  <c r="AG66" i="7" s="1"/>
  <c r="AG67" i="7" l="1"/>
  <c r="AG68" i="7"/>
  <c r="AE67" i="7"/>
  <c r="AE70" i="7" s="1"/>
  <c r="AE72" i="7" s="1"/>
  <c r="BI693" i="3"/>
  <c r="AG70" i="7" l="1"/>
  <c r="AG72" i="7" s="1"/>
  <c r="BI703" i="3"/>
  <c r="AC753" i="3" s="1"/>
  <c r="E87" i="20" l="1"/>
  <c r="E88" i="20" s="1"/>
  <c r="E89" i="20" s="1"/>
  <c r="AP89" i="20" s="1"/>
  <c r="E97" i="20"/>
  <c r="E100" i="20" s="1"/>
  <c r="AP100" i="20" s="1"/>
  <c r="AM566" i="3"/>
  <c r="AK103" i="20" l="1"/>
  <c r="T795" i="20" s="1"/>
  <c r="AF795" i="20" s="1"/>
  <c r="B102" i="11"/>
  <c r="C102" i="11"/>
  <c r="B101" i="13"/>
  <c r="B101" i="4"/>
  <c r="D102" i="11" l="1"/>
  <c r="B103" i="11"/>
  <c r="C103" i="11"/>
  <c r="C105" i="11" s="1"/>
  <c r="D103" i="11"/>
  <c r="B105" i="11"/>
  <c r="B106" i="11" s="1"/>
  <c r="B102" i="13"/>
  <c r="B104" i="13"/>
  <c r="B102" i="4"/>
  <c r="B104" i="4"/>
  <c r="C104" i="4"/>
  <c r="C105" i="4"/>
  <c r="B105" i="4" s="1"/>
  <c r="AG258" i="20" l="1"/>
  <c r="B105" i="13"/>
  <c r="N183" i="27"/>
  <c r="AB47" i="15"/>
  <c r="AB49" i="15" s="1"/>
  <c r="AC454" i="3"/>
  <c r="F457" i="3" s="1"/>
  <c r="AB255" i="20"/>
  <c r="AG257" i="20" s="1"/>
  <c r="D105" i="11"/>
  <c r="C106" i="11"/>
  <c r="D106" i="11" s="1"/>
  <c r="AC455" i="3"/>
  <c r="AG259" i="20" l="1"/>
  <c r="AK262" i="20" s="1"/>
  <c r="T801" i="20" s="1"/>
  <c r="AF801" i="20" s="1"/>
  <c r="AF810" i="20" s="1"/>
  <c r="N184" i="27"/>
  <c r="N194" i="27"/>
  <c r="AB54" i="15"/>
  <c r="AB55" i="15" s="1"/>
  <c r="AB56" i="15" s="1"/>
  <c r="AB57" i="15" l="1"/>
  <c r="M26" i="3"/>
  <c r="P204" i="3" s="1"/>
  <c r="AB59" i="15" l="1"/>
  <c r="AB77" i="15" s="1"/>
  <c r="AB78" i="15" s="1"/>
  <c r="AB79" i="15" l="1"/>
  <c r="AB81" i="15" s="1"/>
  <c r="J82" i="15" s="1"/>
  <c r="M27" i="3"/>
  <c r="P205" i="3" s="1"/>
  <c r="I10" i="21"/>
  <c r="I11" i="21" s="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Z809" authorId="1"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<sst xmlns="http://schemas.openxmlformats.org/spreadsheetml/2006/main" count="5287" uniqueCount="2795">
  <si>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</si>
  <si>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</si>
  <si>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</si>
  <si>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</si>
  <si>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</si>
  <si>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</si>
  <si>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</si>
  <si>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</si>
  <si>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</si>
  <si>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</si>
  <si>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</si>
  <si>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</si>
  <si>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</si>
  <si>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</si>
  <si>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</si>
  <si>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</si>
  <si>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</si>
  <si>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</si>
  <si>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</si>
  <si>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</si>
  <si>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</si>
  <si>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</si>
  <si>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</si>
  <si>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</si>
  <si>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</si>
  <si>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</si>
  <si>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</si>
  <si>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</si>
  <si>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</si>
  <si>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</si>
  <si>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</si>
  <si>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</si>
  <si>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</si>
  <si>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</si>
  <si>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</si>
  <si>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</si>
  <si>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</si>
  <si>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</si>
  <si>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</si>
  <si>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</si>
  <si>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</si>
  <si>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</si>
  <si>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</si>
  <si>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</si>
  <si>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</si>
  <si>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</si>
  <si>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</si>
  <si>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</si>
  <si>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</si>
  <si>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</si>
  <si>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</si>
  <si>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</si>
  <si>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</si>
  <si>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</si>
  <si>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</si>
  <si>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</si>
  <si>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</si>
  <si>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</si>
  <si>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</si>
  <si>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</si>
  <si>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</si>
  <si>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</si>
  <si>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</si>
  <si>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</si>
  <si>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</si>
  <si>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</si>
  <si>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</si>
  <si>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</si>
  <si>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</si>
  <si>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</si>
  <si>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</si>
  <si>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</si>
  <si>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</si>
  <si>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</si>
  <si>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</si>
  <si>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</si>
  <si>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</si>
  <si>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</si>
  <si>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</si>
  <si>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</si>
  <si>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</si>
  <si>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</si>
  <si>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</si>
  <si>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</si>
  <si>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</si>
  <si>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</si>
  <si>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</si>
  <si>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</si>
  <si>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</si>
  <si>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</si>
  <si>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</si>
  <si>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</si>
  <si>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</si>
  <si>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</si>
  <si>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</si>
  <si>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</si>
  <si>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</si>
  <si>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</si>
  <si>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</si>
  <si>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</si>
  <si>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</si>
  <si>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</si>
  <si>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</si>
  <si>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</si>
  <si>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</si>
  <si>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</si>
  <si>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</si>
  <si>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</si>
  <si>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</si>
  <si>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</si>
  <si>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</si>
  <si>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</si>
  <si>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</si>
  <si>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</si>
  <si>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</si>
  <si>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</si>
  <si>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</si>
  <si>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</si>
  <si>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</si>
  <si>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</si>
  <si>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</si>
  <si>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</si>
  <si>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</si>
  <si>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</si>
  <si>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</si>
  <si>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</si>
  <si>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</si>
  <si>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</si>
  <si>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</si>
  <si>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</si>
  <si>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</si>
  <si>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</si>
  <si>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</si>
  <si>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</si>
  <si>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</si>
  <si>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</si>
  <si>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</si>
  <si>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</si>
  <si>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</si>
  <si>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</si>
  <si>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</si>
  <si>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</si>
  <si>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</si>
  <si>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</si>
  <si>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</si>
  <si>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</si>
  <si>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</si>
  <si>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</si>
  <si>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</si>
  <si>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</si>
  <si>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</si>
  <si>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</si>
  <si>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</si>
  <si>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</si>
  <si>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</si>
  <si>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</si>
  <si>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</si>
  <si>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</si>
  <si>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</si>
  <si>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</si>
  <si>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</si>
  <si>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</si>
  <si>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</si>
  <si>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</si>
  <si>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</si>
  <si>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</si>
  <si>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</si>
  <si>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</si>
  <si>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</si>
  <si>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</si>
  <si>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</si>
  <si>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</si>
  <si>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</si>
  <si>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</si>
  <si>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</si>
  <si>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</si>
  <si>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</si>
  <si>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</si>
  <si>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</si>
  <si>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</si>
  <si>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</si>
  <si>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</si>
  <si>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</si>
  <si>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</si>
  <si>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</si>
  <si>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</si>
  <si>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</si>
  <si>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</si>
  <si>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</si>
  <si>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</si>
  <si>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</si>
  <si>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</si>
  <si>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</si>
  <si>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</si>
  <si>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</si>
  <si>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</si>
  <si>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</si>
  <si>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</si>
  <si>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</si>
  <si>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</si>
  <si>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</si>
  <si>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</si>
  <si>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</si>
  <si>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</si>
  <si>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</si>
  <si>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</si>
  <si>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</si>
  <si>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</si>
  <si>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</si>
  <si>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</si>
  <si>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</si>
  <si>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</si>
  <si>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</si>
  <si>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</si>
  <si>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</si>
  <si>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</si>
  <si>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</si>
  <si>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</si>
  <si>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</si>
  <si>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</si>
  <si>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</si>
  <si>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</si>
  <si>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</si>
  <si>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</si>
  <si>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</si>
  <si>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</si>
  <si>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</si>
  <si>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</si>
  <si>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</si>
  <si>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</si>
  <si>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</si>
  <si>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</si>
  <si>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</si>
  <si>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</si>
  <si>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</si>
  <si>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</si>
  <si>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</si>
  <si>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</si>
  <si>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</si>
  <si>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</si>
  <si>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</si>
  <si>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</si>
  <si>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</si>
  <si>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</si>
  <si>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</si>
  <si>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</si>
  <si>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</si>
  <si>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</si>
  <si>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</si>
  <si>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</si>
  <si>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</si>
  <si>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</si>
  <si>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</si>
  <si>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</si>
  <si>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</si>
  <si>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</si>
  <si>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</si>
  <si>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</si>
  <si>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</si>
  <si>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</si>
  <si>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</si>
  <si>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</si>
  <si>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</si>
  <si>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</si>
  <si>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</si>
  <si>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</si>
  <si>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</si>
  <si>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</si>
  <si>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</si>
  <si>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</si>
  <si>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</si>
  <si>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</si>
  <si>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</si>
  <si>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</si>
  <si>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</si>
  <si>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</si>
  <si>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</si>
  <si>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</si>
  <si>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</si>
  <si>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</si>
  <si>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</si>
  <si>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</si>
  <si>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</si>
  <si>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</si>
  <si>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</si>
  <si>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</si>
  <si>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</si>
  <si>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</si>
  <si>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</si>
  <si>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</si>
  <si>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</si>
  <si>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</si>
  <si>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</si>
  <si>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</si>
  <si>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</si>
  <si>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</si>
  <si>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</si>
  <si>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</si>
  <si>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</si>
  <si>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</si>
  <si>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</si>
  <si>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</si>
  <si>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</si>
  <si>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</si>
  <si>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</si>
  <si>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</si>
  <si>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</si>
  <si>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</si>
  <si>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</si>
  <si>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</si>
  <si>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</si>
  <si>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</si>
  <si>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</si>
  <si>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</si>
  <si>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</si>
  <si>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</si>
  <si>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</si>
  <si>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</si>
  <si>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</si>
  <si>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</si>
  <si>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</si>
  <si>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</si>
  <si>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</si>
  <si>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</si>
  <si>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</si>
  <si>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</si>
  <si>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</si>
  <si>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</si>
  <si>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</si>
  <si>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</si>
  <si>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</si>
  <si>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</si>
  <si>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</si>
  <si>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</si>
  <si>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</si>
  <si>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</si>
  <si>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</si>
  <si>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</si>
  <si>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</si>
  <si>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</si>
  <si>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</si>
  <si>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</si>
  <si>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</si>
  <si>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</si>
  <si>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</si>
  <si>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</si>
  <si>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</si>
  <si>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</si>
  <si>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</si>
  <si>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</si>
  <si>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</si>
  <si>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</si>
  <si>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</si>
  <si>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</si>
  <si>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</si>
  <si>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</si>
  <si>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</si>
  <si>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</si>
  <si>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</si>
  <si>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</si>
  <si>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</si>
  <si>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</si>
  <si>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</si>
  <si>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</si>
  <si>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</si>
  <si>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</si>
  <si>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</si>
  <si>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</si>
  <si>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</si>
  <si>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</si>
  <si>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</si>
  <si>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</si>
  <si>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</si>
  <si>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</si>
  <si>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</si>
  <si>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</si>
  <si>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</si>
  <si>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</si>
  <si>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</si>
  <si>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</si>
  <si>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</si>
  <si>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</si>
  <si>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</si>
  <si>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</si>
  <si>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</si>
  <si>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</si>
  <si>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</si>
  <si>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</si>
  <si>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</si>
  <si>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</si>
  <si>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</si>
  <si>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</si>
  <si>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</si>
  <si>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</si>
  <si>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</si>
  <si>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</si>
  <si>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</si>
  <si>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</si>
  <si>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</si>
  <si>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</si>
  <si>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</si>
  <si>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</si>
  <si>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</si>
  <si>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</si>
  <si>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</si>
  <si>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</si>
  <si>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</si>
  <si>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</si>
  <si>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</si>
  <si>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</si>
  <si>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</si>
  <si>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</si>
  <si>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</si>
  <si>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</si>
  <si>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</si>
  <si>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</si>
  <si>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</si>
  <si>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</si>
  <si>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</si>
  <si>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</si>
  <si>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</si>
  <si>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</si>
  <si>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</si>
  <si>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</si>
  <si>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</si>
  <si>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</si>
  <si>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</si>
  <si>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</si>
  <si>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</si>
  <si>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</si>
  <si>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</si>
  <si>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</si>
  <si>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</si>
  <si>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</si>
  <si>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</si>
  <si>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</si>
  <si>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</si>
  <si>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</si>
  <si>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</si>
  <si>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</si>
  <si>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</si>
  <si>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</si>
  <si>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</si>
  <si>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</si>
  <si>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</si>
  <si>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</si>
  <si>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</si>
  <si>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</si>
  <si>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</si>
  <si>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</si>
  <si>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</si>
  <si>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</si>
  <si>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</si>
  <si>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</si>
  <si>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</si>
  <si>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</si>
  <si>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</si>
  <si>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</si>
  <si>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</si>
  <si>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</si>
  <si>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</si>
  <si>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</si>
  <si>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</si>
  <si>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</si>
  <si>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</si>
  <si>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</si>
  <si>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</si>
  <si>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</si>
  <si>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</si>
  <si>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</si>
  <si>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</si>
  <si>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</si>
  <si>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</si>
  <si>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</si>
  <si>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</si>
  <si>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</si>
  <si>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</si>
  <si>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</si>
  <si>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</si>
  <si>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</si>
  <si>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</si>
  <si>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</si>
  <si>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</si>
  <si>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</si>
  <si>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</si>
  <si>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</si>
  <si>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</si>
  <si>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</si>
  <si>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</si>
  <si>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</si>
  <si>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</si>
  <si>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</si>
  <si>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</si>
  <si>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</si>
  <si>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</si>
  <si>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</si>
  <si>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</si>
  <si>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</si>
  <si>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</si>
  <si>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</si>
  <si>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</si>
  <si>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</si>
  <si>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</si>
  <si>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</si>
  <si>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</si>
  <si>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</si>
  <si>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</si>
  <si>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</si>
  <si>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</si>
  <si>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</si>
  <si>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</si>
  <si>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</si>
  <si>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</si>
  <si>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</si>
  <si>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</si>
  <si>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</si>
  <si>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</si>
  <si>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</si>
  <si>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</si>
  <si>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</si>
  <si>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</si>
  <si>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</si>
  <si>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</si>
  <si>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</si>
  <si>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</si>
  <si>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</si>
  <si>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</si>
  <si>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</si>
  <si>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</si>
  <si>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</si>
  <si>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</si>
  <si>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</si>
  <si>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</si>
  <si>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</si>
  <si>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</si>
  <si>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</si>
  <si>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</si>
  <si>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</si>
  <si>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</si>
  <si>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</si>
  <si>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</si>
  <si>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</si>
  <si>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</si>
  <si>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</si>
  <si>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</si>
  <si>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</si>
  <si>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</si>
  <si>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</si>
  <si>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</si>
  <si>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</si>
  <si>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</si>
  <si>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</si>
  <si>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</si>
  <si>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</si>
  <si>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</si>
  <si>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</si>
  <si>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</si>
  <si>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</si>
  <si>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</si>
  <si>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</si>
  <si>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</si>
  <si>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</si>
  <si>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</si>
  <si>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</si>
  <si>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</si>
  <si>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</si>
  <si>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</si>
  <si>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</si>
  <si>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</si>
  <si>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</si>
  <si>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</si>
  <si>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</si>
  <si>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</si>
  <si>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</si>
  <si>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</si>
  <si>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</si>
  <si>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</si>
  <si>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</si>
  <si>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</si>
  <si>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</si>
  <si>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</si>
  <si>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</si>
  <si>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</si>
  <si>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</si>
  <si>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</si>
  <si>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</si>
  <si>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</si>
  <si>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</si>
  <si>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</si>
  <si>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</si>
  <si>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</si>
  <si>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</si>
  <si>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</si>
  <si>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</si>
  <si>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</si>
  <si>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</si>
  <si>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</si>
  <si>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</si>
  <si>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</si>
  <si>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</si>
  <si>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</si>
  <si>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</si>
  <si>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</si>
  <si>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</si>
  <si>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</si>
  <si>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</si>
  <si>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</si>
  <si>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</si>
  <si>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</si>
  <si>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</si>
  <si>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</si>
  <si>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</si>
  <si>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</si>
  <si>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</si>
  <si>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</si>
  <si>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</si>
  <si>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</si>
  <si>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</si>
  <si>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</si>
  <si>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</si>
  <si>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</si>
  <si>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</si>
  <si>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</si>
  <si>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</si>
  <si>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</si>
  <si>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</si>
  <si>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</si>
  <si>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</si>
  <si>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</si>
  <si>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</si>
  <si>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</si>
  <si>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</si>
  <si>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</si>
  <si>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</si>
  <si>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</si>
  <si>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</si>
  <si>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</si>
  <si>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</si>
  <si>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</si>
  <si>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</si>
  <si>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</si>
  <si>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</si>
  <si>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</si>
  <si>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</si>
  <si>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</si>
  <si>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</si>
  <si>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</si>
  <si>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</si>
  <si>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</si>
  <si>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</si>
  <si>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</si>
  <si>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</si>
  <si>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</si>
  <si>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</si>
  <si>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</si>
  <si>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</si>
  <si>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</si>
  <si>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</si>
  <si>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</si>
  <si>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</si>
  <si>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</si>
  <si>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</si>
  <si>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</si>
  <si>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</si>
  <si>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</si>
  <si>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</si>
  <si>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</si>
  <si>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</si>
  <si>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</si>
  <si>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</si>
  <si>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</si>
  <si>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</si>
  <si>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</si>
  <si>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</si>
  <si>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</si>
  <si>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</si>
  <si>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</si>
  <si>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</si>
  <si>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</si>
  <si>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</si>
  <si>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</si>
  <si>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</si>
  <si>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</si>
  <si>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</si>
  <si>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</si>
  <si>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</si>
  <si>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</si>
  <si>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</si>
  <si>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</si>
  <si>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</si>
  <si>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</si>
  <si>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</si>
  <si>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</si>
  <si>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</si>
  <si>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</si>
  <si>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</si>
  <si>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</si>
  <si>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</si>
  <si>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</si>
  <si>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</si>
  <si>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</si>
  <si>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</si>
  <si>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</si>
  <si>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</si>
  <si>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</si>
  <si>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</si>
  <si>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</si>
  <si>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</si>
  <si>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</si>
  <si>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</si>
  <si>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</si>
  <si>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</si>
  <si>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</si>
  <si>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</si>
  <si>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</si>
  <si>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</si>
  <si>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</si>
  <si>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</si>
  <si>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</si>
  <si>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</si>
  <si>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</si>
  <si>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</si>
  <si>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</si>
  <si>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</si>
  <si>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</si>
  <si>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</si>
  <si>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</si>
  <si>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</si>
  <si>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</si>
  <si>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</si>
  <si>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</si>
  <si>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</si>
  <si>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</si>
  <si>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</si>
  <si>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</si>
  <si>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</si>
  <si>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</si>
  <si>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</si>
  <si>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</si>
  <si>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</si>
  <si>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</si>
  <si>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</si>
  <si>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</si>
  <si>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</si>
  <si>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</si>
  <si>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</si>
  <si>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</si>
  <si>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</si>
  <si>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</si>
  <si>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</si>
  <si>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</si>
  <si>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</si>
  <si>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</si>
  <si>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</si>
  <si>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</si>
  <si>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</si>
  <si>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</si>
  <si>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</si>
  <si>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</si>
  <si>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</si>
  <si>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</si>
  <si>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</si>
  <si>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</si>
  <si>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</si>
  <si>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</si>
  <si>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</si>
  <si>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</si>
  <si>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</si>
  <si>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</si>
  <si>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</si>
  <si>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</si>
  <si>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</si>
  <si>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</si>
  <si>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</si>
  <si>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</si>
  <si>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</si>
  <si>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</si>
  <si>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</si>
  <si>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</si>
  <si>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</si>
  <si>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</si>
  <si>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</si>
  <si>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</si>
  <si>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</si>
  <si>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</si>
  <si>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</si>
  <si>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</si>
  <si>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</si>
  <si>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</si>
  <si>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</si>
  <si>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</si>
  <si>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</si>
  <si>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</si>
  <si>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</si>
  <si>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</si>
  <si>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</si>
  <si>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</si>
  <si>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</si>
  <si>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</si>
  <si>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</si>
  <si>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</si>
  <si>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</si>
  <si>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</si>
  <si>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</si>
  <si>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</si>
  <si>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</si>
  <si>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</si>
  <si>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</si>
  <si>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</si>
  <si>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</si>
  <si>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</si>
  <si>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</si>
  <si>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</si>
  <si>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</si>
  <si>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</si>
  <si>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</si>
  <si>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</si>
  <si>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</si>
  <si>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</si>
  <si>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</si>
  <si>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</si>
  <si>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</si>
  <si>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</si>
  <si>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</si>
  <si>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</si>
  <si>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</si>
  <si>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</si>
  <si>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</si>
  <si>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</si>
  <si>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</si>
  <si>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</si>
  <si>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</si>
  <si>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</si>
  <si>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</si>
  <si>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</si>
  <si>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</si>
  <si>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</si>
  <si>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</si>
  <si>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</si>
  <si>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</si>
  <si>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</si>
  <si>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</si>
  <si>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</si>
  <si>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</si>
  <si>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</si>
  <si>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</si>
  <si>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</si>
  <si>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</si>
  <si>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</si>
  <si>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</si>
  <si>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</si>
  <si>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</si>
  <si>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</si>
  <si>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</si>
  <si>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</si>
  <si>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</si>
  <si>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</si>
  <si>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</si>
  <si>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</si>
  <si>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</si>
  <si>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</si>
  <si>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</si>
  <si>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</si>
  <si>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</si>
  <si>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</si>
  <si>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</si>
  <si>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</si>
  <si>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</si>
  <si>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</si>
  <si>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</si>
  <si>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</si>
  <si>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</si>
  <si>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</si>
  <si>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</si>
  <si>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</si>
  <si>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</si>
  <si>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</si>
  <si>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</si>
  <si>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</si>
  <si>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</si>
  <si>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</si>
  <si>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</si>
  <si>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</si>
  <si>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</si>
  <si>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</si>
  <si>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</si>
  <si>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</si>
  <si>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</si>
  <si>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</si>
  <si>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</si>
  <si>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</si>
  <si>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</si>
  <si>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</si>
  <si>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</si>
  <si>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</si>
  <si>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</si>
  <si>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</si>
  <si>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</si>
  <si>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</si>
  <si>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</si>
  <si>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</si>
  <si>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</si>
  <si>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</si>
  <si>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</si>
  <si>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</si>
  <si>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</si>
  <si>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</si>
  <si>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</si>
  <si>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</si>
  <si>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</si>
  <si>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</si>
  <si>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</si>
  <si>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</si>
  <si>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</si>
  <si>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</si>
  <si>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</si>
  <si>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</si>
  <si>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</si>
  <si>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</si>
  <si>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</si>
  <si>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</si>
  <si>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</si>
  <si>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</si>
  <si>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</si>
  <si>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</si>
  <si>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</si>
  <si>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</si>
  <si>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</si>
  <si>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</si>
  <si>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</si>
  <si>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</si>
  <si>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</si>
  <si>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</si>
  <si>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</si>
  <si>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</si>
  <si>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</si>
  <si>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</si>
  <si>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</si>
  <si>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</si>
  <si>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</si>
  <si>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</si>
  <si>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</si>
  <si>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</si>
  <si>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</si>
  <si>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</si>
  <si>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</si>
  <si>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</si>
  <si>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</si>
  <si>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</si>
  <si>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</si>
  <si>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</si>
  <si>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</si>
  <si>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</si>
  <si>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</si>
  <si>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</si>
  <si>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</si>
  <si>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</si>
  <si>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</si>
  <si>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</si>
  <si>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</si>
  <si>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</si>
  <si>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</si>
  <si>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</si>
  <si>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</si>
  <si>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</si>
  <si>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</si>
  <si>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</si>
  <si>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</si>
  <si>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</si>
  <si>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</si>
  <si>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</si>
  <si>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</si>
  <si>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</si>
  <si>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</si>
  <si>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</si>
  <si>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</si>
  <si>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</si>
  <si>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</si>
  <si>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</si>
  <si>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</si>
  <si>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</si>
  <si>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</si>
  <si>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</si>
  <si>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</si>
  <si>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</si>
  <si>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</si>
  <si>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</si>
  <si>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</si>
  <si>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</si>
  <si>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</si>
  <si>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</si>
  <si>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</si>
  <si>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</si>
  <si>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</si>
  <si>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</si>
  <si>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</si>
  <si>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</si>
  <si>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</si>
  <si>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</si>
  <si>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</si>
  <si>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</si>
  <si>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</si>
  <si>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</si>
  <si>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</si>
  <si>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</si>
  <si>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</si>
  <si>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</si>
  <si>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</si>
  <si>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</si>
  <si>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</si>
  <si>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</si>
  <si>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</si>
  <si>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</si>
  <si>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</si>
  <si>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</si>
  <si>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</si>
  <si>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</si>
  <si>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</si>
  <si>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</si>
  <si>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</si>
  <si>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</si>
  <si>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</si>
  <si>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</si>
  <si>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</si>
  <si>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</si>
  <si>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</si>
  <si>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</si>
  <si>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</si>
  <si>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</si>
  <si>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</si>
  <si>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</si>
  <si>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</si>
  <si>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</si>
  <si>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</si>
  <si>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</si>
  <si>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</si>
  <si>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</si>
  <si>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</si>
  <si>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</si>
  <si>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</si>
  <si>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</si>
  <si>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</si>
  <si>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</si>
  <si>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</si>
  <si>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</si>
  <si>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</si>
  <si>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</si>
  <si>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</si>
  <si>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</si>
  <si>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</si>
  <si>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</si>
  <si>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</si>
  <si>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</si>
  <si>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</si>
  <si>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</si>
  <si>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</si>
  <si>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</si>
  <si>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</si>
  <si>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</si>
  <si>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</si>
  <si>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</si>
  <si>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</si>
  <si>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</si>
  <si>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</si>
  <si>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</si>
  <si>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</si>
  <si>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</si>
  <si>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</si>
  <si>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</si>
  <si>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</si>
  <si>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</si>
  <si>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</si>
  <si>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</si>
  <si>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</si>
  <si>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</si>
  <si>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</si>
  <si>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</si>
  <si>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</si>
  <si>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</si>
  <si>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</si>
  <si>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</si>
  <si>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</si>
  <si>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</si>
  <si>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</si>
  <si>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</si>
  <si>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</si>
  <si>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</si>
  <si>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</si>
  <si>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</si>
  <si>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</si>
  <si>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</si>
  <si>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</si>
  <si>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</si>
  <si>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</si>
  <si>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</si>
  <si>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</si>
  <si>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</si>
  <si>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</si>
  <si>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</si>
  <si>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</si>
  <si>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</si>
  <si>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</si>
  <si>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</si>
  <si>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</si>
  <si>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</si>
  <si>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</si>
  <si>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</si>
  <si>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</si>
  <si>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</si>
  <si>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</si>
  <si>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</si>
  <si>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</si>
  <si>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</si>
  <si>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</si>
  <si>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</si>
  <si>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</si>
  <si>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</si>
  <si>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</si>
  <si>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</si>
  <si>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</si>
  <si>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</si>
  <si>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</si>
  <si>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</si>
  <si>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</si>
  <si>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</si>
  <si>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</si>
  <si>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</si>
  <si>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</si>
  <si>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</si>
  <si>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</si>
  <si>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</si>
  <si>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</si>
  <si>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</si>
  <si>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</si>
  <si>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</si>
  <si>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</si>
  <si>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</si>
  <si>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</si>
  <si>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</si>
  <si>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</si>
  <si>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</si>
  <si>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</si>
  <si>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</si>
  <si>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</si>
  <si>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</si>
  <si>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</si>
  <si>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</si>
  <si>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</si>
  <si>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</si>
  <si>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</si>
  <si>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</si>
  <si>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</si>
  <si>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</si>
  <si>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</si>
  <si>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</si>
  <si>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</si>
  <si>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</si>
  <si>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</si>
  <si>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</si>
  <si>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</si>
  <si>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</si>
  <si>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</si>
  <si>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</si>
  <si>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</si>
  <si>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</si>
  <si>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</si>
  <si>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</si>
  <si>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</si>
  <si>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</si>
  <si>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</si>
  <si>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</si>
  <si>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</si>
  <si>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</si>
  <si>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</si>
  <si>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</si>
  <si>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</si>
  <si>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</si>
  <si>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</si>
  <si>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</si>
  <si>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</si>
  <si>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</si>
  <si>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</si>
  <si>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</si>
  <si>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</si>
  <si>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</si>
  <si>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</si>
  <si>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</si>
  <si>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</si>
  <si>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</si>
  <si>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</si>
  <si>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</si>
  <si>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</si>
  <si>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</si>
  <si>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</si>
  <si>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</si>
  <si>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</si>
  <si>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</si>
  <si>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</si>
  <si>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</si>
  <si>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</si>
  <si>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</si>
  <si>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</si>
  <si>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</si>
  <si>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</si>
  <si>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</si>
  <si>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</si>
  <si>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</si>
  <si>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</si>
  <si>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</si>
  <si>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</si>
  <si>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</si>
  <si>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</si>
  <si>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</si>
  <si>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</si>
  <si>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</si>
  <si>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</si>
  <si>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</si>
  <si>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</si>
  <si>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</si>
  <si>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</si>
  <si>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</si>
  <si>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</si>
  <si>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</si>
  <si>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</si>
  <si>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</si>
  <si>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</si>
  <si>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</si>
  <si>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</si>
  <si>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</si>
  <si>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</si>
  <si>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</si>
  <si>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</si>
  <si>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</si>
  <si>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</si>
  <si>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</si>
  <si>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</si>
  <si>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</si>
  <si>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</si>
  <si>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</si>
  <si>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</si>
  <si>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</si>
  <si>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</si>
  <si>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</si>
  <si>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</si>
  <si>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</si>
  <si>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</si>
  <si>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</si>
  <si>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</si>
  <si>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</si>
  <si>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</si>
  <si>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</si>
  <si>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</si>
  <si>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</si>
  <si>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</si>
  <si>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</si>
  <si>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</si>
  <si>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</si>
  <si>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</si>
  <si>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</si>
  <si>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</si>
  <si>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</si>
  <si>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</si>
  <si>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</si>
  <si>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</si>
  <si>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</si>
  <si>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</si>
  <si>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</si>
  <si>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</si>
  <si>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</si>
  <si>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</si>
  <si>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</si>
  <si>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</si>
  <si>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</si>
  <si>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</si>
  <si>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</si>
  <si>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</si>
  <si>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</si>
  <si>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</si>
  <si>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</si>
  <si>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</si>
  <si>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</si>
  <si>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</si>
  <si>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</si>
  <si>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</si>
  <si>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</si>
  <si>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</si>
  <si>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</si>
  <si>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</si>
  <si>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</si>
  <si>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</si>
  <si>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</si>
  <si>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</si>
  <si>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</si>
  <si>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</si>
  <si>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</si>
  <si>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</si>
  <si>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</si>
  <si>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</si>
  <si>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</si>
  <si>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</si>
  <si>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</si>
  <si>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</si>
  <si>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</si>
  <si>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</si>
  <si>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</si>
  <si>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</si>
  <si>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</si>
  <si>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</si>
  <si>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</si>
  <si>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</si>
  <si>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</si>
  <si>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</si>
  <si>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</si>
  <si>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</si>
  <si>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</si>
  <si>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</si>
  <si>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</si>
  <si>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</si>
  <si>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</si>
  <si>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</si>
  <si>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</si>
  <si>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</si>
  <si>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</si>
  <si>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</si>
  <si>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</si>
  <si>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</si>
  <si>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</si>
  <si>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</si>
  <si>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</si>
  <si>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</si>
  <si>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</si>
  <si>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</si>
  <si>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</si>
  <si>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</si>
  <si>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</si>
  <si>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</si>
  <si>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</si>
  <si>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</si>
  <si>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</si>
  <si>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</si>
  <si>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</si>
  <si>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</si>
  <si>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</si>
  <si>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</si>
  <si>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</si>
  <si>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</si>
  <si>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</si>
  <si>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</si>
  <si>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</si>
  <si>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</si>
  <si>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</si>
  <si>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</si>
  <si>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</si>
  <si>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</si>
  <si>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</si>
  <si>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</si>
  <si>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</si>
  <si>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</si>
  <si>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</si>
  <si>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</si>
  <si>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</si>
  <si>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</si>
  <si>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</si>
  <si>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</si>
  <si>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</si>
  <si>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</si>
  <si>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</si>
  <si>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</si>
  <si>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</si>
  <si>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</si>
  <si>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</si>
  <si>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</si>
  <si>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</si>
  <si>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</si>
  <si>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</si>
  <si>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</si>
  <si>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</si>
  <si>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</si>
  <si>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</si>
  <si>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</si>
  <si>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</si>
  <si>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</si>
  <si>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</si>
  <si>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</si>
  <si>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</si>
  <si>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</si>
  <si>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</si>
  <si>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</si>
  <si>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</si>
  <si>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</si>
  <si>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</si>
  <si>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</si>
  <si>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</si>
  <si>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</si>
  <si>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</si>
  <si>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</si>
  <si>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</si>
  <si>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</si>
  <si>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</si>
  <si>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</si>
  <si>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</si>
  <si>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</si>
  <si>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</si>
  <si>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</si>
  <si>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</si>
  <si>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</si>
  <si>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</si>
  <si>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</si>
  <si>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</si>
  <si>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</si>
  <si>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</si>
  <si>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</si>
  <si>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</si>
  <si>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</si>
  <si>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</si>
  <si>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</si>
  <si>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</si>
  <si>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</si>
  <si>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</si>
  <si>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</si>
  <si>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</si>
  <si>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</si>
  <si>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</si>
  <si>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</si>
  <si>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</si>
  <si>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</si>
  <si>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</si>
  <si>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</si>
  <si>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</si>
  <si>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</si>
  <si>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</si>
  <si>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</si>
  <si>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</si>
  <si>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</si>
  <si>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</si>
  <si>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</si>
  <si>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</si>
  <si>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</si>
  <si>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</si>
  <si>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</si>
  <si>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</si>
  <si>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</si>
  <si>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</si>
  <si>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</si>
  <si>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</si>
  <si>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</si>
  <si>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</si>
  <si>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</si>
  <si>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</si>
  <si>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</si>
  <si>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</si>
  <si>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</si>
  <si>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</si>
  <si>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</si>
  <si>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</si>
  <si>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</si>
  <si>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</si>
  <si>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</si>
  <si>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</si>
  <si>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</si>
  <si>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</si>
  <si>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</si>
  <si>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</si>
  <si>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</si>
  <si>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</si>
  <si>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</si>
  <si>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</si>
  <si>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</si>
  <si>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</si>
  <si>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</si>
  <si>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</si>
  <si>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</si>
  <si>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</si>
  <si>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</si>
  <si>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</si>
  <si>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</si>
  <si>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</si>
  <si>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</si>
  <si>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</si>
  <si>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</si>
  <si>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</si>
  <si>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</si>
  <si>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</si>
  <si>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</si>
  <si>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</si>
  <si>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</si>
  <si>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</si>
  <si>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</si>
  <si>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</si>
  <si>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</si>
  <si>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</si>
  <si>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</si>
  <si>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</si>
  <si>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</si>
  <si>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</si>
  <si>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</si>
  <si>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</si>
  <si>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</si>
  <si>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</si>
  <si>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</si>
  <si>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</si>
  <si>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</si>
  <si>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</si>
  <si>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</si>
  <si>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</si>
  <si>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</si>
  <si>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</si>
  <si>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</si>
  <si>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</si>
  <si>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</si>
  <si>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</si>
  <si>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</si>
  <si>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</si>
  <si>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</si>
  <si>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</si>
  <si>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</si>
  <si>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</si>
  <si>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</si>
  <si>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</si>
  <si>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</si>
  <si>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</si>
  <si>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</si>
  <si>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</si>
  <si>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</si>
  <si>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</si>
  <si>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</si>
  <si>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</si>
  <si>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</si>
  <si>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</si>
  <si>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</si>
  <si>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</si>
  <si>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</si>
  <si>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</si>
  <si>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</si>
  <si>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</si>
  <si>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</si>
  <si>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</si>
  <si>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</si>
  <si>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</si>
  <si>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</si>
  <si>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</si>
  <si>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</si>
  <si>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</si>
  <si>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</si>
  <si>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</si>
  <si>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</si>
  <si>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</si>
  <si>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</si>
  <si>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</si>
  <si>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</si>
  <si>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</si>
  <si>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</si>
  <si>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</si>
  <si>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</si>
  <si>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</si>
  <si>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</si>
  <si>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</si>
  <si>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</si>
  <si>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</si>
  <si>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</si>
  <si>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</si>
  <si>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</si>
  <si>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</si>
  <si>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</si>
  <si>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</si>
  <si>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</si>
  <si>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</si>
  <si>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</si>
  <si>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</si>
  <si>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</si>
  <si>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</si>
  <si>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</si>
  <si>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</si>
  <si>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</si>
  <si>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</si>
  <si>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</si>
  <si>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</si>
  <si>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</si>
  <si>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</si>
  <si>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</si>
  <si>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</si>
  <si>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</si>
  <si>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</si>
  <si>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</si>
  <si>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</si>
  <si>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</si>
  <si>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</si>
  <si>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</si>
  <si>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</si>
  <si>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</si>
  <si>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</si>
  <si>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</si>
  <si>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</si>
  <si>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</si>
  <si>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</si>
  <si>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</si>
  <si>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</si>
  <si>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</si>
  <si>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</si>
  <si>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</si>
  <si>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</si>
  <si>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</si>
  <si>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</si>
  <si>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</si>
  <si>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</si>
  <si>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</si>
  <si>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</si>
  <si>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</si>
  <si>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</si>
  <si>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</si>
  <si>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</si>
  <si>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</si>
  <si>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</si>
  <si>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</si>
  <si>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</si>
  <si>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</si>
  <si>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</si>
  <si>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</si>
  <si>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</si>
  <si>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</si>
  <si>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</si>
  <si>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</si>
  <si>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</si>
  <si>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</si>
  <si>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</si>
  <si>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</si>
  <si>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</si>
  <si>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</si>
  <si>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</si>
  <si>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</si>
  <si>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</si>
  <si>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</si>
  <si>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</si>
  <si>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</si>
  <si>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</si>
  <si>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</si>
  <si>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</si>
  <si>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</si>
  <si>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</si>
  <si>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</si>
  <si>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</si>
  <si>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</si>
  <si>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</si>
  <si>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</si>
  <si>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</si>
  <si>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</si>
  <si>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</si>
  <si>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</si>
  <si>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</si>
  <si>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</si>
  <si>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</si>
  <si>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</si>
  <si>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</si>
  <si>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</si>
  <si>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</si>
  <si>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</si>
  <si>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</si>
  <si>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</si>
  <si>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</si>
  <si>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</si>
  <si>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</si>
  <si>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</si>
  <si>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</si>
  <si>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</si>
  <si>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</si>
  <si>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</si>
  <si>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</si>
  <si>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</si>
  <si>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</si>
  <si>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</si>
  <si>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</si>
  <si>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</si>
  <si>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</si>
  <si>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</si>
  <si>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</si>
  <si>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</si>
  <si>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</si>
  <si>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</si>
  <si>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</si>
  <si>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</si>
  <si>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</si>
  <si>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</si>
  <si>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</si>
  <si>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</si>
  <si>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</si>
  <si>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</si>
  <si>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</si>
  <si>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</si>
  <si>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</si>
  <si>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</si>
  <si>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</si>
  <si>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</si>
  <si>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</si>
  <si>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</si>
  <si>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</si>
  <si>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</si>
  <si>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</si>
  <si>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</si>
  <si>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</si>
  <si>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</si>
  <si>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</si>
  <si>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</si>
  <si>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</si>
  <si>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</si>
  <si>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</si>
  <si>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</si>
  <si>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</si>
  <si>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</si>
  <si>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</si>
  <si>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</si>
  <si>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</si>
  <si>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</si>
  <si>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</si>
  <si>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</si>
  <si>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</si>
  <si>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</si>
  <si>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</si>
  <si>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</si>
  <si>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</si>
  <si>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</si>
  <si>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</si>
  <si>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</si>
  <si>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</si>
  <si>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</si>
  <si>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</si>
  <si>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</si>
  <si>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</si>
  <si>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</si>
  <si>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</si>
  <si>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</si>
  <si>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</si>
  <si>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</si>
  <si>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</si>
  <si>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</si>
  <si>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</si>
  <si>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</si>
  <si>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</si>
  <si>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</si>
  <si>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</si>
  <si>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</si>
  <si>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</si>
  <si>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</si>
  <si>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</si>
  <si>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</si>
  <si>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</si>
  <si>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</si>
  <si>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</si>
  <si>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</si>
  <si>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</si>
  <si>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</si>
  <si>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</si>
  <si>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</si>
  <si>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</si>
  <si>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</si>
  <si>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</si>
  <si>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</si>
  <si>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</si>
  <si>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</si>
  <si>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</si>
  <si>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</si>
  <si>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</si>
  <si>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</si>
  <si>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</si>
  <si>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</si>
  <si>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</si>
  <si>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</si>
  <si>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</si>
  <si>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</si>
  <si>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</si>
  <si>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</si>
  <si>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</si>
  <si>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</si>
  <si>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</si>
  <si>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</si>
  <si>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</si>
  <si>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</si>
  <si>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</si>
  <si>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</si>
  <si>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</si>
  <si>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</si>
  <si>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</si>
  <si>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</si>
  <si>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</si>
  <si>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</si>
  <si>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</si>
  <si>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</si>
  <si>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</si>
  <si>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</si>
  <si>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</si>
  <si>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</si>
  <si>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</si>
  <si>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</si>
  <si>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</si>
  <si>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</si>
  <si>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</si>
  <si>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</si>
  <si>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</si>
  <si>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</si>
  <si>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</si>
  <si>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</si>
  <si>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</si>
  <si>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</si>
  <si>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</si>
  <si>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</si>
  <si>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</si>
  <si>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</si>
  <si>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</si>
  <si>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</si>
  <si>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</si>
  <si>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</si>
  <si>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</si>
  <si>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</si>
  <si>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</si>
  <si>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</si>
  <si>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</si>
  <si>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</si>
  <si>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</si>
  <si>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</si>
  <si>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</si>
  <si>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</si>
  <si>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</si>
  <si>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</si>
  <si>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</si>
  <si>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</si>
  <si>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</si>
  <si>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</si>
  <si>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</si>
  <si>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</si>
  <si>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</si>
  <si>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</si>
  <si>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</si>
  <si>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</si>
  <si>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</si>
  <si>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</si>
  <si>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</si>
  <si>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</si>
  <si>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</si>
  <si>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</si>
  <si>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</si>
  <si>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</si>
  <si>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</si>
  <si>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</si>
  <si>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</si>
  <si>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</si>
  <si>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</si>
  <si>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</si>
  <si>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</si>
  <si>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</si>
  <si>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</si>
  <si>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</si>
  <si>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</si>
  <si>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</si>
  <si>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</si>
  <si>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</si>
  <si>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</si>
  <si>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</si>
  <si>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</si>
  <si>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</si>
  <si>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</si>
  <si>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</si>
  <si>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</si>
  <si>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</si>
  <si>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</si>
  <si>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</si>
  <si>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</si>
  <si>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</si>
  <si>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</si>
  <si>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</si>
  <si>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</si>
  <si>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</si>
  <si>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</si>
  <si>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</si>
  <si>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</si>
  <si>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</si>
  <si>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</si>
  <si>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</si>
  <si>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</si>
  <si>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</si>
  <si>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</si>
  <si>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</si>
  <si>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</si>
  <si>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</si>
  <si>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</si>
  <si>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</si>
  <si>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</si>
  <si>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</si>
  <si>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</si>
  <si>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</si>
  <si>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</si>
  <si>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</si>
  <si>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</si>
  <si>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</si>
  <si>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</si>
  <si>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</si>
  <si>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</si>
  <si>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</si>
  <si>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</si>
  <si>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</si>
  <si>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</si>
  <si>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</si>
  <si>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</si>
  <si>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</si>
  <si>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</si>
  <si>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</si>
  <si>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</si>
  <si>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</si>
  <si>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</si>
  <si>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</si>
  <si>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</si>
  <si>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</si>
  <si>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</si>
  <si>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</si>
  <si>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</si>
  <si>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</si>
  <si>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</si>
  <si>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</si>
  <si>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</si>
  <si>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</si>
  <si>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</si>
  <si>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</si>
  <si>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</si>
  <si>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</si>
  <si>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</si>
  <si>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</si>
  <si>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</si>
  <si>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</si>
  <si>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</si>
  <si>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</si>
  <si>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</si>
  <si>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</si>
  <si>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</si>
  <si>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</si>
  <si>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</si>
  <si>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</si>
  <si>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</si>
  <si>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</si>
  <si>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</si>
  <si>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</si>
  <si>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</si>
  <si>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</si>
  <si>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</si>
  <si>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</si>
  <si>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</si>
  <si>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</si>
  <si>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</si>
  <si>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</si>
  <si>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</si>
  <si>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</si>
  <si>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</si>
  <si>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</si>
  <si>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</si>
  <si>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</si>
  <si>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</si>
  <si>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</si>
  <si>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</si>
  <si>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</si>
  <si>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</si>
  <si>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</si>
  <si>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</si>
  <si>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</si>
  <si>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</si>
  <si>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</si>
  <si>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</si>
  <si>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</si>
  <si>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</si>
  <si>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</si>
  <si>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</si>
  <si>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</si>
  <si>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</si>
  <si>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</si>
  <si>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</si>
  <si>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</si>
  <si>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</si>
  <si>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</si>
  <si>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</si>
  <si>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</si>
  <si>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</si>
  <si>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</si>
  <si>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</si>
  <si>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</si>
  <si>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</si>
  <si>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</si>
  <si>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</si>
  <si>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</si>
  <si>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</si>
  <si>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</si>
  <si>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</si>
  <si>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</si>
  <si>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</si>
  <si>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</si>
  <si>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</si>
  <si>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</si>
  <si>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</si>
  <si>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</si>
  <si>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</si>
  <si>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</si>
  <si>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</si>
  <si>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</si>
  <si>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</si>
  <si>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</si>
  <si>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</si>
  <si>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</si>
  <si>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</si>
  <si>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</si>
  <si>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</si>
  <si>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</si>
  <si>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</si>
  <si>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</si>
  <si>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</si>
  <si>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</si>
  <si>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</si>
  <si>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</si>
  <si>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</si>
  <si>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</si>
  <si>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</si>
  <si>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</si>
  <si>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</si>
  <si>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</si>
  <si>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</si>
  <si>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</si>
  <si>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</si>
  <si>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</si>
  <si>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</si>
  <si>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</si>
  <si>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</si>
  <si>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</si>
  <si>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</si>
  <si>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</si>
  <si>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</si>
  <si>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</si>
  <si>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</si>
  <si>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</si>
  <si>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</si>
  <si>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</si>
  <si>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</si>
  <si>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</si>
  <si>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</si>
  <si>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</si>
  <si>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</si>
  <si>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</si>
  <si>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</si>
  <si>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</si>
  <si>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</si>
  <si>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</si>
  <si>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</si>
  <si>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</si>
  <si>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</si>
  <si>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</si>
  <si>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</si>
  <si>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</si>
  <si>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</si>
  <si>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</si>
  <si>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</si>
  <si>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</si>
  <si>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</si>
  <si>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</si>
  <si>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</si>
  <si>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</si>
  <si>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</si>
  <si>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</si>
  <si>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</si>
  <si>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</si>
  <si>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</si>
  <si>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</si>
  <si>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</si>
  <si>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</si>
  <si>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</si>
  <si>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</si>
  <si>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</si>
  <si>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</si>
  <si>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</si>
  <si>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</si>
  <si>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</si>
  <si>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</si>
  <si>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</si>
  <si>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</si>
  <si>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</si>
  <si>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</si>
  <si>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</si>
  <si>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</si>
  <si>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</si>
  <si>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</si>
  <si>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</si>
  <si>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</si>
  <si>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</si>
  <si>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</si>
  <si>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</si>
  <si>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</si>
  <si>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</si>
  <si>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</si>
  <si>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</si>
  <si>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</si>
  <si>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</si>
  <si>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</si>
  <si>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</si>
  <si>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</si>
  <si>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</si>
  <si>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</si>
  <si>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</si>
  <si>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</si>
  <si>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</si>
  <si>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</si>
  <si>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</si>
  <si>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</si>
  <si>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</si>
  <si>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</si>
  <si>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</si>
  <si>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</si>
  <si>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</si>
  <si>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</si>
  <si>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</si>
  <si>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</si>
  <si>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</si>
  <si>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</si>
  <si>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</si>
  <si>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</si>
  <si>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</si>
  <si>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</si>
  <si>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</si>
  <si>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</si>
  <si>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</si>
  <si>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</si>
  <si>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</si>
  <si>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</si>
  <si>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</si>
  <si>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</si>
  <si>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</si>
  <si>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</si>
  <si>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</si>
  <si>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</si>
  <si>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</si>
  <si>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</si>
  <si>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</si>
  <si>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</si>
  <si>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</si>
  <si>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</si>
  <si>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</si>
  <si>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</si>
  <si>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</si>
  <si>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</si>
  <si>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</si>
  <si>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</si>
  <si>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</si>
  <si>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</si>
  <si>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</si>
  <si>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</si>
  <si>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</si>
  <si>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</si>
  <si>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</si>
  <si>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</si>
  <si>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</si>
  <si>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</si>
  <si>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</si>
  <si>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</si>
  <si>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</si>
  <si>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</si>
  <si>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</si>
  <si>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</si>
  <si>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</si>
  <si>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</si>
  <si>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</si>
  <si>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</si>
  <si>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</si>
  <si>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</si>
  <si>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</si>
  <si>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</si>
  <si>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</si>
  <si>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</si>
  <si>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</si>
  <si>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</si>
  <si>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</si>
  <si>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</si>
  <si>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</si>
  <si>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</si>
  <si>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</si>
  <si>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</si>
  <si>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</si>
  <si>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</si>
  <si>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</si>
  <si>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</si>
  <si>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</si>
  <si>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</si>
  <si>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</si>
  <si>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</si>
  <si>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</si>
  <si>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</si>
  <si>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</si>
  <si>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</si>
  <si>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</si>
  <si>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</si>
  <si>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</si>
  <si>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</si>
  <si>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</si>
  <si>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</si>
  <si>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</si>
  <si>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</si>
  <si>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</si>
  <si>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</si>
  <si>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</si>
  <si>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</si>
  <si>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</si>
  <si>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</si>
  <si>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</si>
  <si>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</si>
  <si>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</si>
  <si>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</si>
  <si>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</si>
  <si>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</si>
  <si>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</si>
  <si>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</si>
  <si>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</si>
  <si>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</si>
  <si>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</si>
  <si>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</si>
  <si>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</si>
  <si>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</si>
  <si>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</si>
  <si>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</si>
  <si>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</si>
  <si>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</si>
  <si>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</si>
  <si>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</si>
  <si>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</si>
  <si>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</si>
  <si>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</si>
  <si>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</si>
  <si>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</si>
  <si>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</si>
  <si>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</si>
  <si>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</si>
  <si>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</si>
  <si>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</si>
  <si>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</si>
  <si>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</si>
  <si>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</si>
  <si>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</si>
  <si>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</si>
  <si>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</si>
  <si>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</si>
  <si>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</si>
  <si>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</si>
  <si>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</si>
  <si>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</si>
  <si>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</si>
  <si>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</si>
  <si>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</si>
  <si>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</si>
  <si>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</si>
  <si>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</si>
  <si>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</si>
  <si>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</si>
  <si>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</si>
  <si>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</si>
  <si>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</si>
  <si>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</si>
  <si>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</si>
  <si>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</si>
  <si>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</si>
  <si>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</si>
  <si>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</si>
  <si>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</si>
  <si>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</si>
  <si>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</si>
  <si>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</si>
  <si>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</si>
  <si>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</si>
  <si>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</si>
  <si>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</si>
  <si>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</si>
  <si>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</si>
  <si>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</si>
  <si>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</si>
  <si>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</si>
  <si>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</si>
  <si>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</si>
  <si>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</si>
  <si>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</si>
  <si>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</si>
  <si>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</si>
  <si>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</si>
  <si>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</si>
  <si>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</si>
  <si>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</si>
  <si>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</si>
  <si>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</si>
  <si>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</si>
  <si>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</si>
  <si>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</si>
  <si>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</si>
  <si>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</si>
  <si>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</si>
  <si>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</si>
  <si>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</si>
  <si>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</si>
  <si>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</si>
  <si>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</si>
  <si>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</si>
  <si>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</si>
  <si>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</si>
  <si>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</si>
  <si>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</si>
  <si>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</si>
  <si>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</si>
  <si>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</si>
  <si>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</si>
  <si>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</si>
  <si>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</si>
  <si>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</si>
  <si>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</si>
  <si>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</si>
  <si>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</si>
  <si>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</si>
  <si>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</si>
  <si>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</si>
  <si>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</si>
  <si>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</si>
  <si>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</si>
  <si>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</si>
  <si>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</si>
  <si>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</si>
  <si>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</si>
  <si>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</si>
  <si>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</si>
  <si>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</si>
  <si>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</si>
  <si>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</si>
  <si>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</si>
  <si>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</si>
  <si>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</si>
  <si>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</si>
  <si>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</si>
  <si>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</si>
  <si>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</si>
  <si>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</si>
  <si>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</si>
  <si>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</si>
  <si>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</si>
  <si>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</si>
  <si>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</si>
  <si>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</si>
  <si>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</si>
  <si>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</si>
  <si>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</si>
  <si>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</si>
  <si>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</si>
  <si>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</si>
  <si>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</si>
  <si>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</si>
  <si>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</si>
  <si>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</si>
  <si>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</si>
  <si>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</si>
  <si>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</si>
  <si>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</si>
  <si>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</si>
  <si>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</si>
  <si>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</si>
  <si>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</si>
  <si>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</si>
  <si>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</si>
  <si>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</si>
  <si>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</si>
  <si>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</si>
  <si>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</si>
  <si>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</si>
  <si>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</si>
  <si>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</si>
  <si>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</si>
  <si>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</si>
  <si>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</si>
  <si>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</si>
  <si>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</si>
  <si>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</si>
  <si>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</si>
  <si>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</si>
  <si>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</si>
  <si>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</si>
  <si>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</si>
  <si>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</si>
  <si>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</si>
  <si>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</si>
  <si>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</si>
  <si>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</si>
  <si>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</si>
  <si>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</si>
  <si>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</si>
  <si>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</si>
  <si>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</si>
  <si>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</si>
  <si>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</si>
  <si>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</si>
  <si>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</si>
  <si>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</si>
  <si>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</si>
  <si>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</si>
  <si>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</si>
  <si>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</si>
  <si>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</si>
  <si>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</si>
  <si>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</si>
  <si>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</si>
  <si>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</si>
  <si>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</si>
  <si>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</si>
  <si>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</si>
  <si>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</si>
  <si>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</si>
  <si>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</si>
  <si>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</si>
  <si>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</si>
  <si>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</si>
  <si>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</si>
  <si>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</si>
  <si>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</si>
  <si>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</si>
  <si>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</si>
  <si>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</si>
  <si>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</si>
  <si>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</si>
  <si>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</si>
  <si>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</si>
  <si>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</si>
  <si>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</si>
  <si>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</si>
  <si>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</si>
  <si>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</si>
  <si>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</si>
  <si>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</si>
  <si>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</si>
  <si>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</si>
  <si>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</si>
  <si>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</si>
  <si>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</si>
  <si>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</si>
  <si>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</si>
  <si>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</si>
  <si>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</si>
  <si>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</si>
  <si>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</si>
  <si>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</si>
  <si>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</si>
  <si>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</si>
  <si>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</si>
  <si>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</si>
  <si>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</si>
  <si>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</si>
  <si>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</si>
  <si>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</si>
  <si>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</si>
  <si>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</si>
  <si>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</si>
  <si>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</si>
  <si>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</si>
  <si>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</si>
  <si>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</si>
  <si>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</si>
  <si>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</si>
  <si>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</si>
  <si>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</si>
  <si>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</si>
  <si>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</si>
  <si>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</si>
  <si>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</si>
  <si>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</si>
  <si>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</si>
  <si>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</si>
  <si>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</si>
  <si>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</si>
  <si>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</si>
  <si>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</si>
  <si>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</si>
  <si>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</si>
  <si>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</si>
  <si>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</si>
  <si>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</si>
  <si>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</si>
  <si>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</si>
  <si>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</si>
  <si>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</si>
  <si>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</si>
  <si>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</si>
  <si>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</si>
  <si>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</si>
  <si>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</si>
  <si>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</si>
  <si>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</si>
  <si>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</si>
  <si>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</si>
  <si>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</si>
  <si>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</si>
  <si>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</si>
  <si>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</si>
  <si>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</si>
  <si>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</si>
  <si>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</si>
  <si>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</si>
  <si>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</si>
  <si>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</si>
  <si>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</si>
  <si>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</si>
  <si>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</si>
  <si>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</si>
  <si>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</si>
  <si>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</si>
  <si>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</si>
  <si>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</si>
  <si>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</si>
  <si>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</si>
  <si>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</si>
  <si>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</si>
  <si>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</si>
  <si>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</si>
  <si>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</si>
  <si>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</si>
  <si>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</si>
  <si>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</si>
  <si>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</si>
  <si>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</si>
  <si>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</si>
  <si>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</si>
  <si>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</si>
  <si>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</si>
  <si>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</si>
  <si>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</si>
  <si>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</si>
  <si>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</si>
  <si>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</si>
  <si>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</si>
  <si>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</si>
  <si>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</si>
  <si>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</si>
  <si>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</si>
  <si>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</si>
  <si>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</si>
  <si>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</si>
  <si>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</si>
  <si>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</si>
  <si>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</si>
  <si>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</si>
  <si>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</si>
  <si>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</si>
  <si>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</si>
  <si>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</si>
  <si>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</si>
  <si>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</si>
  <si>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</si>
  <si>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</si>
  <si>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</si>
  <si>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</si>
  <si>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</si>
  <si>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</si>
  <si>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</si>
  <si>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</si>
  <si>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</si>
  <si>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</si>
  <si>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</si>
  <si>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</si>
  <si>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</si>
  <si>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</si>
  <si>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</si>
  <si>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</si>
  <si>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</si>
  <si>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</si>
  <si>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</si>
  <si>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</si>
  <si>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</si>
  <si>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</si>
  <si>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</si>
  <si>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</si>
  <si>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</si>
  <si>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</si>
  <si>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</si>
  <si>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</si>
  <si>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</si>
  <si>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</si>
  <si>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</si>
  <si>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</si>
  <si>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</si>
  <si>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</si>
  <si>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</si>
  <si>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</si>
  <si>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</si>
  <si>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</si>
  <si>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</si>
  <si>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</si>
  <si>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</si>
  <si>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</si>
  <si>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</si>
  <si>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</si>
  <si>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</si>
  <si>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</si>
  <si>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</si>
  <si>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</si>
  <si>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</si>
  <si>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</si>
  <si>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</si>
  <si>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</si>
  <si>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</si>
  <si>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</si>
  <si>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</si>
  <si>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</si>
  <si>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</si>
  <si>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</si>
  <si>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</si>
  <si>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</si>
  <si>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</si>
  <si>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</si>
  <si>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</si>
  <si>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</si>
  <si>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</si>
  <si>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</si>
  <si>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</si>
  <si>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</si>
  <si>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</si>
  <si>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</si>
  <si>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</si>
  <si>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</si>
  <si>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</si>
  <si>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</si>
  <si>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</si>
  <si>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</si>
  <si>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</si>
  <si>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</si>
  <si>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</si>
  <si>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</si>
  <si>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</si>
  <si>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</si>
  <si>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</si>
  <si>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</si>
  <si>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</si>
  <si>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</si>
  <si>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</si>
  <si>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</si>
  <si>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</si>
  <si>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</si>
  <si>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</si>
  <si>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40%/60% Average Income</t>
  </si>
  <si>
    <t xml:space="preserve">Robert Laing </t>
  </si>
  <si>
    <t>858-675-0506</t>
  </si>
  <si>
    <t>robertlaing@pswcdc.org</t>
  </si>
  <si>
    <t>Pacific Southwest Community Development Corporation</t>
  </si>
  <si>
    <t>CA</t>
  </si>
  <si>
    <t>Managing GP</t>
  </si>
  <si>
    <t>Administrative GP</t>
  </si>
  <si>
    <t>4429 Morena Boulevard, Suite A</t>
  </si>
  <si>
    <t xml:space="preserve">Paul Salib </t>
  </si>
  <si>
    <t>212-776-1914</t>
  </si>
  <si>
    <t>psalib@crpaffrodable.com</t>
  </si>
  <si>
    <t>CRP Affordable Housing and Community Development LLC</t>
  </si>
  <si>
    <t>122 East 42 nd ST, STE 1903</t>
  </si>
  <si>
    <t>New York</t>
  </si>
  <si>
    <t>Seth Sterneck</t>
  </si>
  <si>
    <t>ssterneck@crpaffordable.com</t>
  </si>
  <si>
    <t>NY</t>
  </si>
  <si>
    <t>Developer</t>
  </si>
  <si>
    <t>CRP Affordable Housing &amp; Community Development LLC</t>
  </si>
  <si>
    <t>Ironcore Construction LLC</t>
  </si>
  <si>
    <t>San Diego, CA, 92104</t>
  </si>
  <si>
    <t>Elliot Jones</t>
  </si>
  <si>
    <t>ejones@ironcorecc.com</t>
  </si>
  <si>
    <t>Hobson Bernadino+ Davis LLP</t>
  </si>
  <si>
    <t>6060 Center Drive, Floor 10</t>
  </si>
  <si>
    <t>Los Angeles, CA 90045</t>
  </si>
  <si>
    <t>Jason Hobson</t>
  </si>
  <si>
    <t>jhobson@hbdlegal.com</t>
  </si>
  <si>
    <t>Novogradac &amp; Company LLP</t>
  </si>
  <si>
    <t>1300 114th Avenue SE, Suite 240</t>
  </si>
  <si>
    <t>Bellevue, WA 98004</t>
  </si>
  <si>
    <t>Thomas Stagg</t>
  </si>
  <si>
    <t>thomas.stagg@novoco.com</t>
  </si>
  <si>
    <t>6700 Antioch Rd #450</t>
  </si>
  <si>
    <t>Merriam, KS 66204</t>
  </si>
  <si>
    <t>Rachel Denton</t>
  </si>
  <si>
    <t>Rachel.denton@novoco.com</t>
  </si>
  <si>
    <t>213-235-9191</t>
  </si>
  <si>
    <t>California Housing Finance Agency</t>
  </si>
  <si>
    <t>500 Capitola Mall Suite 400</t>
  </si>
  <si>
    <t>Sacramento, CA 95814</t>
  </si>
  <si>
    <t>Kevin Brown</t>
  </si>
  <si>
    <t>(916) 616-8899</t>
  </si>
  <si>
    <t>KBrown@CalHFA.ca.gov</t>
  </si>
  <si>
    <t xml:space="preserve">Rachel Denton </t>
  </si>
  <si>
    <t>425-453-5783</t>
  </si>
  <si>
    <t>Partner Energy</t>
  </si>
  <si>
    <t>680 Knox St., Suite 150</t>
  </si>
  <si>
    <t>Torrance, CA 90502</t>
  </si>
  <si>
    <t>Kelsey Shaw</t>
  </si>
  <si>
    <t>310-356-2199</t>
  </si>
  <si>
    <t>760-355-675</t>
  </si>
  <si>
    <t>kshaw@ptrenergy.com</t>
  </si>
  <si>
    <t>Paul Salib</t>
  </si>
  <si>
    <t>Other (Specify below)</t>
  </si>
  <si>
    <t>Federal LIHTC Equity</t>
  </si>
  <si>
    <t>State LIHTC Equity</t>
  </si>
  <si>
    <t>Deferred Costs</t>
  </si>
  <si>
    <t>CITI Construction Loan (Tax- Exempt)</t>
  </si>
  <si>
    <t>CITI Construction Loan (Taxable)</t>
  </si>
  <si>
    <t>Variable</t>
  </si>
  <si>
    <t>300 South Grand Avenue</t>
  </si>
  <si>
    <t>Los Angeles, CA 90071</t>
  </si>
  <si>
    <t>Hao Li</t>
  </si>
  <si>
    <t>Tax Exempt Bonds/Private</t>
  </si>
  <si>
    <t>Taxable Loan/Private</t>
  </si>
  <si>
    <t>122 East 42nd St, STE 1903</t>
  </si>
  <si>
    <t>New York NY 10168</t>
  </si>
  <si>
    <t>Private</t>
  </si>
  <si>
    <t xml:space="preserve">Citibank Permanent Loan </t>
  </si>
  <si>
    <t>App Fee, Late Fee etc.</t>
  </si>
  <si>
    <t>Project-based vouchers (PBVs)</t>
  </si>
  <si>
    <t>1 bedroom</t>
  </si>
  <si>
    <t>Adult education and Skill building classes.(60 hours of instruction per year)</t>
  </si>
  <si>
    <t>After-School Program for Children (10 hours of service per week)</t>
  </si>
  <si>
    <t>Land Cost</t>
  </si>
  <si>
    <t>Sustainable development features include all Energy Star rated appliances; 100% electric, partially powered by solar panels located on the roof. A central hot water system is proposed to provide a more efficient system.
- Windows to the living rooms will be recessed into the building off the unit balcony (where provided) to allow for natural shading andreducing the solar heat gain. All windows will be operable and have removable screens to promote natural ventilation and occupantusability. All windows will also be dual paned with Low-E insulated glass for reduced solar heat gain.
- The roof will also use light colored materials to reduce the solar heat gain.
- The project is also designed to maximize density in a previously underdeveloped lot which will help to minimize city sprawl.
- The project will also include transportation amenities including: a transit and ride share information kiosk/information center as well asan on-site bicycle repair station with ample secured bike storage.
- The location is also 0.1 miles from transit which will promote pedestrian traffic and reduce Green House Gas emissions.</t>
  </si>
  <si>
    <t xml:space="preserve">The GC agreement has not been finalized. Ironcore Construction Management Services LLC has been engaged to provide construction services including, but not limited to;
 value engineering, bid/budget services, and constructability review of plans and designs. The proposed construction budget is based on the third-party construction services 
company’s preliminary bid  estimates pursuant to the current plans and designs.  </t>
  </si>
  <si>
    <t xml:space="preserve">Phase I Report </t>
  </si>
  <si>
    <t xml:space="preserve">Federal LIHTC Equity </t>
  </si>
  <si>
    <t xml:space="preserve">State LIHTC Equity </t>
  </si>
  <si>
    <t xml:space="preserve">Tax Credits and Bond Financing </t>
  </si>
  <si>
    <t>Provided</t>
  </si>
  <si>
    <t>Not Applicable</t>
  </si>
  <si>
    <t>PSCDC Scotts LLC</t>
  </si>
  <si>
    <t>4575 Scotts Valley Apartments</t>
  </si>
  <si>
    <t>City of Scotts Valley</t>
  </si>
  <si>
    <t>Ms. Michelle Fodge</t>
  </si>
  <si>
    <t>1 Civic Center Drive</t>
  </si>
  <si>
    <t>Scotts Valley</t>
  </si>
  <si>
    <t>(831) 440-5630</t>
  </si>
  <si>
    <t>(831) 438-2793</t>
  </si>
  <si>
    <t>mfodge@scottsvalley.org</t>
  </si>
  <si>
    <t xml:space="preserve">PSCDC Scotts LLC </t>
  </si>
  <si>
    <t>CRP 4575 Scotts Valley Apartments AGP LLC</t>
  </si>
  <si>
    <t>Workbench</t>
  </si>
  <si>
    <t>New York,NY, 10168</t>
  </si>
  <si>
    <t>Santa Cruz, CA,95060</t>
  </si>
  <si>
    <t>516-375-1402</t>
  </si>
  <si>
    <t>35'</t>
  </si>
  <si>
    <t>100 DUs ON A 2.3 AC SITE &gt; 30 DU/AC PER AB 2011</t>
  </si>
  <si>
    <t xml:space="preserve">CP-P: Professional Commercial. The Project will obtain entitlements utilizing AB 2011 which allows for a CEQA-exempt, ministerial approval process for multifamily housing developments on sites within a zone where office, retail or parking are the principally permitted use. </t>
  </si>
  <si>
    <t>C-S: C-P ZONING IS SUPERCEDED BY C-S ZONING FOR THIS
PROJECT AS REQUIRED BY AB2011, 15-20 DUs PER ACRE</t>
  </si>
  <si>
    <t>HACSC PBVs</t>
  </si>
  <si>
    <t>General Utilities</t>
  </si>
  <si>
    <t>The Housing Authority of the County of Santa Cruz</t>
  </si>
  <si>
    <t>2 bedroom</t>
  </si>
  <si>
    <t>3 bedroom</t>
  </si>
  <si>
    <t>Cambridge Real Estate Services, Inc.</t>
  </si>
  <si>
    <t>PO Box 2968</t>
  </si>
  <si>
    <t>Portland, OR 97208</t>
  </si>
  <si>
    <t>Jeffery Passadore</t>
  </si>
  <si>
    <t>503-450-0233</t>
  </si>
  <si>
    <t>jpassadore@cambridgeres.com</t>
  </si>
  <si>
    <t>4575 Scotts Valley Drive, Scotts Valley CA</t>
  </si>
  <si>
    <t>189 Walnut Avenue</t>
  </si>
  <si>
    <t>Tim Gordin</t>
  </si>
  <si>
    <t>831.227.2217</t>
  </si>
  <si>
    <t>tim@workbenchbuilt.com</t>
  </si>
  <si>
    <t>02.03.2024</t>
  </si>
  <si>
    <t>022-481-21</t>
  </si>
  <si>
    <t>Family</t>
  </si>
  <si>
    <t>Perm Loan</t>
  </si>
  <si>
    <t>Payroll taxes</t>
  </si>
  <si>
    <t>Housing Authority of County of Santa Cruz</t>
  </si>
  <si>
    <t>Other: (Bond Premium)</t>
  </si>
  <si>
    <t>Other: (Employment Reporting)</t>
  </si>
  <si>
    <t>Other: (Perm Legal)</t>
  </si>
  <si>
    <t>Other: (Lender, Investor,Bond Issuer, MGP Legal)</t>
  </si>
  <si>
    <t>Other: (Relocation Cost)</t>
  </si>
  <si>
    <t>Other: (CDLAC Fee)</t>
  </si>
  <si>
    <t>Other: (Prevailing Wage Monitoring ; Miscellaneous Third-Party Costs;Predevelopment Loan Interest)</t>
  </si>
  <si>
    <t>4575 Scotts Valley Apartments LP</t>
  </si>
  <si>
    <t>Partnership Admin Fee</t>
  </si>
  <si>
    <t>August</t>
  </si>
  <si>
    <t>16935 W Bernardo Drive, Suite 238</t>
  </si>
  <si>
    <t>WB 4575 Scotts Valley Apartments AGP LLC</t>
  </si>
  <si>
    <t>Matt Grosz</t>
  </si>
  <si>
    <t>Matt.Grosz@RedstoneEquity.com</t>
  </si>
  <si>
    <t>Redstone Equity Partners</t>
  </si>
  <si>
    <t>401 West A Street, Suite 1830</t>
  </si>
  <si>
    <t>San Diego, CA 92101</t>
  </si>
  <si>
    <t xml:space="preserve">Appenrodt Living Trust, Richard A. Fontana 2006 Irrevocable Trust, Griffen Family Trust, Parker Family Trust </t>
  </si>
  <si>
    <t>Joseph W. Appenrodt, Kathleen W. Appenrodt, Ryan Fontana, Charles Griffen, Meridth Griffen, Randall Parker, Laura C. Parker</t>
  </si>
  <si>
    <t>Equity</t>
  </si>
  <si>
    <t>Senior Planner</t>
  </si>
  <si>
    <t>3-Story Garden Style Buildings</t>
  </si>
  <si>
    <t>LP Distribution</t>
  </si>
  <si>
    <t>GP Distribution</t>
  </si>
  <si>
    <t>Robert Laing</t>
  </si>
  <si>
    <t>, California.</t>
  </si>
  <si>
    <t>President</t>
  </si>
  <si>
    <t>At least 15% of units will be ADA accessible pursuant with CBC 11B 809.2</t>
  </si>
  <si>
    <t>The 15 ADA units are for large families as well</t>
  </si>
  <si>
    <t>Miscellaneous Admin</t>
  </si>
  <si>
    <t>Section 8 Project Based Vouchers</t>
  </si>
  <si>
    <t>Secured by Fee Interest</t>
  </si>
  <si>
    <t xml:space="preserve">Housing Authority of the County of Santa Cruz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</si>
</sst>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0"/>
      <color rgb="FF000000"/>
      <name val="Arial"/>
      <family val="2"/>
    </font>
    <font>
      <sz val="8"/>
      <color rgb="FF000000"/>
      <name val="Arial"/>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2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rgb="FF000000"/>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s>
  <cellStyleXfs count="17170">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11">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96" fillId="0" borderId="6" xfId="4496" applyFont="1" applyBorder="1" applyAlignment="1">
      <alignment horizontal="left" vertical="top"/>
    </xf>
    <xf numFmtId="0" fontId="14" fillId="5" borderId="3" xfId="0" applyFont="1" applyFill="1" applyBorder="1" applyAlignment="1" applyProtection="1">
      <alignment horizontal="left"/>
      <protection locked="0"/>
    </xf>
    <xf numFmtId="10" fontId="14" fillId="0" borderId="0" xfId="4494" applyNumberFormat="1" applyFont="1" applyAlignment="1">
      <alignment horizontal="center"/>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4" fillId="0" borderId="0" xfId="0" applyFont="1" applyAlignment="1">
      <alignment horizontal="left" vertical="top" wrapText="1"/>
    </xf>
    <xf numFmtId="0" fontId="103" fillId="0" borderId="0" xfId="0" applyFont="1" applyAlignment="1">
      <alignment horizontal="left" vertical="top" wrapText="1"/>
    </xf>
    <xf numFmtId="0" fontId="43" fillId="0" borderId="0" xfId="0" applyFont="1" applyAlignment="1">
      <alignment horizontal="left" vertical="top" wrapText="1"/>
    </xf>
    <xf numFmtId="0" fontId="111" fillId="0" borderId="0" xfId="0" applyFont="1" applyAlignment="1">
      <alignment horizontal="left" wrapText="1"/>
    </xf>
    <xf numFmtId="0" fontId="14" fillId="0" borderId="0" xfId="0" applyFont="1" applyAlignment="1">
      <alignment horizontal="left" wrapText="1"/>
    </xf>
    <xf numFmtId="0" fontId="23" fillId="0" borderId="0" xfId="0" applyFont="1" applyAlignment="1">
      <alignment horizontal="left" wrapText="1"/>
    </xf>
    <xf numFmtId="0" fontId="15" fillId="0" borderId="0" xfId="244" applyAlignment="1" applyProtection="1">
      <alignment horizontal="left"/>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14" fillId="0" borderId="0" xfId="0" applyFont="1" applyAlignment="1">
      <alignment horizontal="left"/>
    </xf>
    <xf numFmtId="0" fontId="32" fillId="0" borderId="0" xfId="1192" applyFont="1" applyAlignment="1">
      <alignment horizontal="left"/>
    </xf>
    <xf numFmtId="0" fontId="14" fillId="0" borderId="0" xfId="1192" applyAlignment="1">
      <alignment horizontal="left"/>
    </xf>
    <xf numFmtId="4" fontId="14" fillId="0" borderId="0" xfId="1192" applyNumberFormat="1" applyAlignment="1">
      <alignment horizontal="left" vertical="top" wrapText="1"/>
    </xf>
    <xf numFmtId="0" fontId="21" fillId="0" borderId="4" xfId="569" applyFont="1" applyBorder="1" applyAlignment="1">
      <alignment horizontal="left"/>
    </xf>
    <xf numFmtId="0" fontId="32" fillId="0" borderId="0" xfId="0" applyFont="1" applyAlignment="1">
      <alignment horizontal="left"/>
    </xf>
    <xf numFmtId="0" fontId="21" fillId="0" borderId="0" xfId="271" applyFont="1" applyAlignment="1">
      <alignment horizontal="left" vertical="top" wrapText="1"/>
    </xf>
    <xf numFmtId="0" fontId="0" fillId="0" borderId="0" xfId="0" applyAlignment="1">
      <alignment horizontal="left" vertical="top" wrapText="1"/>
    </xf>
    <xf numFmtId="0" fontId="23" fillId="0" borderId="0" xfId="0" applyFont="1" applyAlignment="1">
      <alignment horizontal="left"/>
    </xf>
    <xf numFmtId="0" fontId="14" fillId="0" borderId="0" xfId="271" applyFont="1" applyAlignment="1" applyProtection="1">
      <alignment horizontal="left" vertical="top" wrapText="1"/>
      <protection locked="0"/>
    </xf>
    <xf numFmtId="0" fontId="15" fillId="0" borderId="0" xfId="244" applyAlignment="1">
      <alignment horizontal="left"/>
    </xf>
    <xf numFmtId="0" fontId="21" fillId="0" borderId="0" xfId="0" applyFont="1"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4" fontId="14" fillId="0" borderId="0" xfId="569" applyNumberFormat="1" applyAlignment="1">
      <alignment horizontal="left" vertical="top" wrapText="1"/>
    </xf>
    <xf numFmtId="0" fontId="32" fillId="0" borderId="0" xfId="569" applyFont="1" applyAlignment="1">
      <alignment horizontal="left"/>
    </xf>
    <xf numFmtId="0" fontId="14" fillId="0" borderId="0" xfId="569" applyAlignment="1">
      <alignment horizontal="left" vertical="top" wrapText="1"/>
    </xf>
    <xf numFmtId="0" fontId="14" fillId="0" borderId="0" xfId="569" applyAlignment="1">
      <alignment horizontal="left"/>
    </xf>
    <xf numFmtId="0" fontId="32" fillId="0" borderId="0" xfId="569" applyFont="1" applyAlignment="1">
      <alignment horizontal="left" vertical="top" wrapText="1"/>
    </xf>
    <xf numFmtId="0" fontId="14" fillId="0" borderId="0" xfId="569" applyAlignment="1">
      <alignment horizontal="left" vertical="top"/>
    </xf>
    <xf numFmtId="0" fontId="14" fillId="0" borderId="0" xfId="271" applyFon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4" fontId="15" fillId="0" borderId="0" xfId="244" applyNumberFormat="1" applyFill="1" applyAlignment="1" applyProtection="1">
      <alignment horizontal="left"/>
    </xf>
    <xf numFmtId="0" fontId="21" fillId="0" borderId="0" xfId="569" applyFont="1" applyAlignment="1">
      <alignment horizontal="left" vertical="top"/>
    </xf>
    <xf numFmtId="0" fontId="14" fillId="0" borderId="0" xfId="0" applyFont="1" applyAlignment="1">
      <alignment horizontal="left" vertical="top"/>
    </xf>
    <xf numFmtId="0" fontId="15" fillId="0" borderId="0" xfId="244" quotePrefix="1" applyAlignment="1" applyProtection="1">
      <alignment horizontal="left"/>
    </xf>
    <xf numFmtId="0" fontId="21" fillId="0" borderId="4" xfId="0" applyFont="1" applyBorder="1" applyAlignment="1">
      <alignment horizontal="left"/>
    </xf>
    <xf numFmtId="0" fontId="21" fillId="0" borderId="4" xfId="569" applyFont="1" applyBorder="1" applyAlignment="1">
      <alignment horizontal="left" vertical="top"/>
    </xf>
    <xf numFmtId="0" fontId="32" fillId="0" borderId="0" xfId="569" applyFont="1" applyAlignment="1">
      <alignment horizontal="left" vertical="top"/>
    </xf>
    <xf numFmtId="0" fontId="32" fillId="0" borderId="0" xfId="0" applyFont="1" applyAlignment="1">
      <alignment horizontal="left" wrapText="1"/>
    </xf>
    <xf numFmtId="4" fontId="14" fillId="0" borderId="0" xfId="569" applyNumberFormat="1" applyAlignment="1">
      <alignment horizontal="left"/>
    </xf>
    <xf numFmtId="4" fontId="32" fillId="0" borderId="0" xfId="569" applyNumberFormat="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4" fontId="14" fillId="0" borderId="0" xfId="0" applyNumberFormat="1" applyFont="1" applyAlignment="1">
      <alignment horizontal="left"/>
    </xf>
    <xf numFmtId="0" fontId="32" fillId="0" borderId="0" xfId="0" applyFont="1" applyAlignment="1">
      <alignment horizontal="left" vertical="top"/>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21" fillId="0" borderId="0" xfId="0" applyFont="1" applyAlignment="1">
      <alignmen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21" fillId="0" borderId="0" xfId="569" applyFont="1" applyAlignment="1">
      <alignment horizontal="center"/>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21" fillId="0" borderId="0" xfId="0" applyFont="1" applyAlignment="1">
      <alignment horizontal="left" vertical="top"/>
    </xf>
    <xf numFmtId="0" fontId="14" fillId="0" borderId="0" xfId="569" applyAlignment="1">
      <alignment horizontal="left" vertical="center" wrapText="1"/>
    </xf>
    <xf numFmtId="0" fontId="21" fillId="0" borderId="16" xfId="569" applyFont="1" applyBorder="1" applyAlignment="1">
      <alignment horizontal="left"/>
    </xf>
    <xf numFmtId="0" fontId="21" fillId="0" borderId="0" xfId="569" applyFont="1" applyAlignment="1">
      <alignment horizontal="left"/>
    </xf>
    <xf numFmtId="0" fontId="21" fillId="0" borderId="4" xfId="0" applyFont="1" applyBorder="1" applyAlignment="1">
      <alignment horizontal="left" vertical="top"/>
    </xf>
    <xf numFmtId="0" fontId="15" fillId="0" borderId="0" xfId="244" applyAlignment="1" applyProtection="1">
      <alignment horizontal="left"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32"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1" fontId="23" fillId="5" borderId="11" xfId="0" applyNumberFormat="1" applyFont="1" applyFill="1" applyBorder="1" applyAlignment="1" applyProtection="1">
      <alignment horizontal="center"/>
      <protection locked="0"/>
    </xf>
    <xf numFmtId="0" fontId="23" fillId="5" borderId="6" xfId="271" applyFill="1" applyBorder="1" applyProtection="1">
      <protection locked="0"/>
    </xf>
    <xf numFmtId="0" fontId="23" fillId="0" borderId="11" xfId="0" applyFont="1" applyBorder="1" applyAlignment="1">
      <alignment horizontal="center" vertical="top" wrapText="1"/>
    </xf>
    <xf numFmtId="0" fontId="21" fillId="0" borderId="0" xfId="0" applyFont="1" applyAlignment="1">
      <alignment horizontal="center" vertical="center"/>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0" fontId="21"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3" fontId="42" fillId="10" borderId="0" xfId="543" applyNumberFormat="1" applyFont="1" applyFill="1" applyAlignment="1">
      <alignment horizontal="left" vertical="center" wrapText="1"/>
    </xf>
    <xf numFmtId="0" fontId="14" fillId="5" borderId="4"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0" fillId="0" borderId="6" xfId="0" applyBorder="1" applyAlignment="1">
      <alignment horizontal="left"/>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4" fillId="5" borderId="11" xfId="0" applyFont="1" applyFill="1" applyBorder="1" applyAlignment="1" applyProtection="1">
      <alignment horizontal="lef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wrapText="1"/>
    </xf>
    <xf numFmtId="0" fontId="14" fillId="0" borderId="0" xfId="0" applyFont="1" applyAlignment="1">
      <alignment horizontal="center" vertical="top"/>
    </xf>
    <xf numFmtId="0" fontId="23" fillId="0" borderId="0" xfId="0" applyFont="1" applyAlignment="1">
      <alignment horizontal="left" vertical="top" wrapText="1"/>
    </xf>
    <xf numFmtId="0" fontId="14" fillId="5" borderId="6" xfId="0" applyFont="1" applyFill="1" applyBorder="1" applyAlignment="1" applyProtection="1">
      <alignment horizontal="left"/>
      <protection locked="0"/>
    </xf>
    <xf numFmtId="0" fontId="23" fillId="5" borderId="6" xfId="0" applyFont="1" applyFill="1" applyBorder="1" applyAlignment="1" applyProtection="1">
      <alignment horizontal="left"/>
      <protection locked="0"/>
    </xf>
    <xf numFmtId="0" fontId="20" fillId="3" borderId="0" xfId="0" applyFont="1" applyFill="1" applyAlignment="1">
      <alignment horizontal="center" vertical="center"/>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5" borderId="4" xfId="0" applyFont="1" applyFill="1" applyBorder="1" applyAlignment="1" applyProtection="1">
      <alignment horizontal="left"/>
      <protection locked="0"/>
    </xf>
    <xf numFmtId="0" fontId="14" fillId="5" borderId="6"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23" fillId="5" borderId="4" xfId="0" applyFont="1" applyFill="1" applyBorder="1" applyAlignment="1" applyProtection="1">
      <alignment wrapText="1"/>
      <protection locked="0"/>
    </xf>
    <xf numFmtId="0" fontId="21" fillId="0" borderId="11" xfId="0" applyFont="1" applyBorder="1" applyAlignment="1">
      <alignment horizontal="center" vertical="center" wrapText="1"/>
    </xf>
    <xf numFmtId="172" fontId="21" fillId="0" borderId="11" xfId="0" applyNumberFormat="1" applyFont="1" applyBorder="1" applyAlignment="1">
      <alignment horizontal="center" vertical="center"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0" fillId="0" borderId="11" xfId="0" applyBorder="1" applyAlignment="1">
      <alignment horizontal="center"/>
    </xf>
    <xf numFmtId="166" fontId="23" fillId="5" borderId="4" xfId="0" applyNumberFormat="1" applyFont="1" applyFill="1" applyBorder="1" applyAlignment="1" applyProtection="1">
      <alignment horizontal="left"/>
      <protection locked="0"/>
    </xf>
    <xf numFmtId="0" fontId="23" fillId="45" borderId="11" xfId="0" applyFont="1" applyFill="1" applyBorder="1" applyAlignment="1">
      <alignment horizontal="center"/>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14"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23" fillId="0" borderId="11" xfId="0" applyFont="1" applyBorder="1" applyAlignment="1">
      <alignment horizontal="center"/>
    </xf>
    <xf numFmtId="0" fontId="23" fillId="2" borderId="11" xfId="0" applyFont="1" applyFill="1" applyBorder="1" applyAlignment="1">
      <alignment horizontal="center"/>
    </xf>
    <xf numFmtId="0" fontId="14" fillId="0" borderId="11"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14" fillId="0" borderId="11" xfId="543" applyBorder="1" applyAlignment="1">
      <alignment horizontal="center"/>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182" fontId="22" fillId="43" borderId="11" xfId="8722" applyNumberFormat="1" applyFont="1" applyFill="1" applyBorder="1" applyAlignment="1" applyProtection="1">
      <alignment horizontal="center" vertical="center" wrapText="1"/>
      <protection locked="0"/>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64" fontId="33" fillId="5" borderId="3" xfId="0" applyNumberFormat="1" applyFont="1" applyFill="1" applyBorder="1" applyAlignment="1" applyProtection="1">
      <alignment horizontal="left"/>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4" fillId="0" borderId="3" xfId="0" applyFont="1" applyBorder="1"/>
    <xf numFmtId="0" fontId="14" fillId="0" borderId="4" xfId="0" applyFont="1" applyBorder="1"/>
    <xf numFmtId="0" fontId="14" fillId="0" borderId="5" xfId="0" applyFont="1" applyBorder="1"/>
    <xf numFmtId="0" fontId="14" fillId="5" borderId="3"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12" xfId="0" applyFont="1" applyBorder="1" applyAlignment="1">
      <alignment horizontal="center" wrapText="1"/>
    </xf>
    <xf numFmtId="0" fontId="21" fillId="0" borderId="9"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168" fontId="14" fillId="0" borderId="11" xfId="543" applyNumberFormat="1" applyBorder="1" applyAlignment="1">
      <alignment horizontal="center"/>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33" fillId="0" borderId="3" xfId="543" applyFont="1" applyBorder="1" applyAlignment="1">
      <alignment horizontal="center"/>
    </xf>
    <xf numFmtId="0" fontId="33" fillId="0" borderId="5" xfId="543" applyFont="1" applyBorder="1" applyAlignment="1">
      <alignment horizontal="center"/>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14" fillId="5" borderId="4" xfId="0" applyFont="1" applyFill="1" applyBorder="1" applyAlignment="1" applyProtection="1">
      <alignment wrapText="1"/>
      <protection locked="0"/>
    </xf>
    <xf numFmtId="0" fontId="21" fillId="0" borderId="6" xfId="0" applyFont="1" applyBorder="1" applyAlignment="1">
      <alignment horizontal="right"/>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0" fontId="21" fillId="0" borderId="11" xfId="0" applyFont="1" applyBorder="1" applyAlignment="1">
      <alignment horizontal="center" vertic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6" fontId="14" fillId="5" borderId="4"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center"/>
      <protection locked="0"/>
    </xf>
    <xf numFmtId="168" fontId="177" fillId="43" borderId="109" xfId="0" applyNumberFormat="1" applyFont="1" applyFill="1" applyBorder="1" applyAlignment="1" applyProtection="1">
      <alignment horizontal="right"/>
      <protection locked="0"/>
    </xf>
    <xf numFmtId="168" fontId="177" fillId="43" borderId="110" xfId="0" applyNumberFormat="1" applyFont="1" applyFill="1" applyBorder="1" applyAlignment="1" applyProtection="1">
      <alignment horizontal="right"/>
      <protection locked="0"/>
    </xf>
    <xf numFmtId="168" fontId="177" fillId="43" borderId="111" xfId="0" applyNumberFormat="1" applyFont="1" applyFill="1" applyBorder="1" applyAlignment="1" applyProtection="1">
      <alignment horizontal="right"/>
      <protection locked="0"/>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168" fontId="170" fillId="0" borderId="0" xfId="0" applyNumberFormat="1" applyFont="1" applyAlignment="1">
      <alignment horizontal="center" vertical="center" wrapText="1"/>
    </xf>
    <xf numFmtId="168" fontId="177" fillId="43" borderId="108" xfId="0" applyNumberFormat="1" applyFont="1" applyFill="1" applyBorder="1" applyAlignment="1" applyProtection="1">
      <alignment horizontal="right"/>
      <protection locked="0"/>
    </xf>
    <xf numFmtId="168" fontId="177" fillId="43" borderId="106" xfId="0" applyNumberFormat="1" applyFont="1" applyFill="1" applyBorder="1" applyAlignment="1" applyProtection="1">
      <alignment horizontal="right"/>
      <protection locked="0"/>
    </xf>
    <xf numFmtId="168" fontId="177" fillId="43" borderId="107" xfId="0" applyNumberFormat="1" applyFon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168" fontId="0" fillId="0" borderId="11" xfId="0" applyNumberFormat="1" applyBorder="1" applyAlignment="1">
      <alignment horizontal="center"/>
    </xf>
    <xf numFmtId="168" fontId="177" fillId="43" borderId="109" xfId="0" applyNumberFormat="1" applyFont="1" applyFill="1" applyBorder="1" applyProtection="1">
      <protection locked="0"/>
    </xf>
    <xf numFmtId="168" fontId="177" fillId="43" borderId="110" xfId="0" applyNumberFormat="1" applyFont="1" applyFill="1" applyBorder="1" applyProtection="1">
      <protection locked="0"/>
    </xf>
    <xf numFmtId="168" fontId="177" fillId="43" borderId="111" xfId="0" applyNumberFormat="1" applyFont="1" applyFill="1" applyBorder="1" applyProtection="1">
      <protection locked="0"/>
    </xf>
    <xf numFmtId="168" fontId="0" fillId="0" borderId="11" xfId="0" applyNumberFormat="1" applyBorder="1"/>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164" fontId="178" fillId="43" borderId="118" xfId="0" applyNumberFormat="1" applyFont="1" applyFill="1" applyBorder="1" applyAlignment="1" applyProtection="1">
      <alignment horizontal="left"/>
      <protection locked="0"/>
    </xf>
    <xf numFmtId="164" fontId="178" fillId="43" borderId="110" xfId="0" applyNumberFormat="1" applyFont="1" applyFill="1" applyBorder="1" applyAlignment="1" applyProtection="1">
      <alignment horizontal="left"/>
      <protection locked="0"/>
    </xf>
    <xf numFmtId="164" fontId="178" fillId="43" borderId="119" xfId="0" applyNumberFormat="1" applyFont="1" applyFill="1" applyBorder="1" applyAlignment="1" applyProtection="1">
      <alignment horizontal="left"/>
      <protection locked="0"/>
    </xf>
    <xf numFmtId="164" fontId="178" fillId="43" borderId="105" xfId="0" applyNumberFormat="1" applyFont="1" applyFill="1" applyBorder="1" applyAlignment="1" applyProtection="1">
      <alignment horizontal="left"/>
      <protection locked="0"/>
    </xf>
    <xf numFmtId="164" fontId="178" fillId="43" borderId="106" xfId="0" applyNumberFormat="1" applyFont="1" applyFill="1" applyBorder="1" applyAlignment="1" applyProtection="1">
      <alignment horizontal="left"/>
      <protection locked="0"/>
    </xf>
    <xf numFmtId="164" fontId="178" fillId="43" borderId="117" xfId="0" applyNumberFormat="1" applyFont="1" applyFill="1" applyBorder="1" applyAlignment="1" applyProtection="1">
      <alignment horizontal="left"/>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4" fillId="0" borderId="0" xfId="543" applyAlignment="1">
      <alignment horizontal="center"/>
    </xf>
    <xf numFmtId="2" fontId="14" fillId="0" borderId="0" xfId="543" applyNumberFormat="1" applyAlignment="1">
      <alignment horizontal="center"/>
    </xf>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171" fontId="14" fillId="0" borderId="0" xfId="543" applyNumberFormat="1" applyAlignment="1">
      <alignment horizontal="center"/>
    </xf>
    <xf numFmtId="0" fontId="23" fillId="0" borderId="1" xfId="0" applyFont="1" applyBorder="1" applyAlignment="1">
      <alignment horizontal="center" vertical="top" wrapText="1"/>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168" fontId="0" fillId="0" borderId="11" xfId="0" applyNumberFormat="1" applyBorder="1" applyAlignment="1">
      <alignment horizontal="right"/>
    </xf>
    <xf numFmtId="0" fontId="14" fillId="43" borderId="11" xfId="0" applyFont="1" applyFill="1" applyBorder="1" applyAlignment="1" applyProtection="1">
      <alignment horizontal="center"/>
      <protection locked="0"/>
    </xf>
    <xf numFmtId="0" fontId="14"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168" fontId="23" fillId="5" borderId="6" xfId="0" applyNumberFormat="1" applyFont="1" applyFill="1" applyBorder="1" applyAlignment="1" applyProtection="1">
      <alignment horizontal="right"/>
      <protection locked="0"/>
    </xf>
    <xf numFmtId="168" fontId="23"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3" fillId="5" borderId="4" xfId="0" applyFont="1" applyFill="1" applyBorder="1" applyAlignment="1" applyProtection="1">
      <alignment horizontal="right"/>
      <protection locked="0"/>
    </xf>
    <xf numFmtId="14" fontId="14" fillId="5" borderId="4" xfId="0" applyNumberFormat="1" applyFont="1" applyFill="1" applyBorder="1" applyAlignment="1" applyProtection="1">
      <alignment horizontal="right"/>
      <protection locked="0"/>
    </xf>
    <xf numFmtId="14" fontId="2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166" fontId="23" fillId="5" borderId="6" xfId="0" applyNumberFormat="1" applyFont="1" applyFill="1" applyBorder="1" applyAlignment="1" applyProtection="1">
      <alignment horizontal="left"/>
      <protection locked="0"/>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0" fontId="14" fillId="5" borderId="11" xfId="0" applyFont="1" applyFill="1" applyBorder="1" applyAlignment="1" applyProtection="1">
      <alignment horizontal="left" vertical="center" wrapText="1"/>
      <protection locked="0"/>
    </xf>
    <xf numFmtId="0" fontId="14"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3" fillId="5" borderId="9" xfId="0" applyFont="1" applyFill="1" applyBorder="1" applyAlignment="1" applyProtection="1">
      <alignment horizontal="center"/>
      <protection locked="0"/>
    </xf>
    <xf numFmtId="0" fontId="0" fillId="0" borderId="12" xfId="0" applyBorder="1" applyAlignment="1">
      <alignment horizontal="center"/>
    </xf>
    <xf numFmtId="0" fontId="21" fillId="0" borderId="9" xfId="0" applyFont="1" applyBorder="1" applyAlignment="1">
      <alignment horizontal="center"/>
    </xf>
    <xf numFmtId="0" fontId="21" fillId="0" borderId="6" xfId="0" applyFont="1" applyBorder="1" applyAlignment="1">
      <alignment horizontal="center"/>
    </xf>
    <xf numFmtId="168" fontId="14" fillId="0" borderId="3" xfId="0" applyNumberFormat="1" applyFont="1" applyBorder="1" applyAlignment="1">
      <alignment horizontal="left" vertical="top"/>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1" fillId="0" borderId="4" xfId="0" applyFont="1" applyBorder="1" applyAlignment="1">
      <alignment horizontal="center"/>
    </xf>
    <xf numFmtId="0" fontId="21" fillId="0" borderId="5" xfId="0" applyFont="1" applyBorder="1" applyAlignment="1">
      <alignment horizontal="center"/>
    </xf>
    <xf numFmtId="0" fontId="21" fillId="0" borderId="1"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5" fontId="14"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0" fontId="0" fillId="0" borderId="9" xfId="0" applyBorder="1" applyAlignment="1">
      <alignment horizontal="left"/>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0" fontId="21" fillId="0" borderId="1" xfId="0" applyFont="1" applyBorder="1" applyAlignment="1">
      <alignment horizontal="center" wrapText="1"/>
    </xf>
    <xf numFmtId="0" fontId="21" fillId="0" borderId="2" xfId="0" applyFont="1" applyBorder="1" applyAlignment="1">
      <alignment horizontal="center" wrapText="1"/>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14"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171" fontId="14" fillId="0" borderId="0" xfId="543" applyNumberFormat="1" applyAlignment="1">
      <alignment horizontal="right"/>
    </xf>
    <xf numFmtId="164" fontId="178" fillId="43" borderId="116" xfId="0" applyNumberFormat="1" applyFont="1" applyFill="1" applyBorder="1" applyAlignment="1" applyProtection="1">
      <alignment horizontal="left"/>
      <protection locked="0"/>
    </xf>
    <xf numFmtId="164" fontId="178" fillId="43" borderId="4" xfId="0" applyNumberFormat="1" applyFont="1" applyFill="1" applyBorder="1" applyAlignment="1" applyProtection="1">
      <alignment horizontal="left"/>
      <protection locked="0"/>
    </xf>
    <xf numFmtId="164" fontId="178" fillId="43" borderId="5" xfId="0" applyNumberFormat="1" applyFont="1" applyFill="1" applyBorder="1" applyAlignment="1" applyProtection="1">
      <alignment horizontal="left"/>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5" borderId="11" xfId="0" applyNumberFormat="1" applyFill="1" applyBorder="1" applyProtection="1">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77" fillId="43" borderId="112" xfId="0" applyNumberFormat="1" applyFont="1" applyFill="1" applyBorder="1" applyProtection="1">
      <protection locked="0"/>
    </xf>
    <xf numFmtId="168" fontId="177" fillId="43" borderId="113" xfId="0" applyNumberFormat="1" applyFont="1" applyFill="1" applyBorder="1" applyProtection="1">
      <protection locked="0"/>
    </xf>
    <xf numFmtId="168" fontId="177" fillId="43" borderId="114" xfId="0" applyNumberFormat="1" applyFont="1" applyFill="1" applyBorder="1" applyProtection="1">
      <protection locked="0"/>
    </xf>
    <xf numFmtId="9" fontId="14" fillId="0" borderId="0" xfId="543" applyNumberFormat="1" applyAlignment="1">
      <alignment horizontal="center" vertical="center"/>
    </xf>
    <xf numFmtId="168" fontId="177" fillId="43" borderId="3" xfId="0" applyNumberFormat="1" applyFont="1" applyFill="1" applyBorder="1" applyProtection="1">
      <protection locked="0"/>
    </xf>
    <xf numFmtId="168" fontId="177" fillId="43" borderId="4" xfId="0" applyNumberFormat="1" applyFont="1" applyFill="1" applyBorder="1" applyProtection="1">
      <protection locked="0"/>
    </xf>
    <xf numFmtId="168" fontId="177" fillId="43" borderId="115" xfId="0" applyNumberFormat="1" applyFont="1" applyFill="1" applyBorder="1" applyProtection="1">
      <protection locked="0"/>
    </xf>
    <xf numFmtId="0" fontId="21" fillId="0" borderId="7" xfId="0" applyFont="1" applyBorder="1" applyAlignment="1">
      <alignment horizontal="center" wrapText="1"/>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1"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0" fontId="0" fillId="0" borderId="3" xfId="0" applyBorder="1" applyAlignment="1">
      <alignment horizontal="left"/>
    </xf>
    <xf numFmtId="0" fontId="0" fillId="0" borderId="4" xfId="0" applyBorder="1" applyAlignment="1">
      <alignment horizontal="left"/>
    </xf>
    <xf numFmtId="0" fontId="23" fillId="0" borderId="3" xfId="0" applyFont="1" applyBorder="1" applyAlignment="1">
      <alignment horizontal="left"/>
    </xf>
    <xf numFmtId="14" fontId="0" fillId="5" borderId="3" xfId="0" quotePrefix="1" applyNumberFormat="1" applyFill="1" applyBorder="1" applyAlignment="1" applyProtection="1">
      <alignment horizontal="right"/>
      <protection locked="0"/>
    </xf>
    <xf numFmtId="0" fontId="21" fillId="0" borderId="9" xfId="0" applyFont="1" applyBorder="1" applyAlignment="1">
      <alignment horizontal="right"/>
    </xf>
    <xf numFmtId="0" fontId="21" fillId="0" borderId="10" xfId="0" applyFont="1" applyBorder="1" applyAlignment="1">
      <alignment horizontal="right"/>
    </xf>
    <xf numFmtId="10" fontId="23" fillId="5" borderId="4" xfId="0" applyNumberFormat="1" applyFon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68" fontId="23" fillId="0" borderId="3" xfId="0" applyNumberFormat="1" applyFont="1" applyBorder="1" applyAlignment="1">
      <alignment horizontal="left" vertical="top"/>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3" fillId="5" borderId="11" xfId="0" applyFont="1" applyFill="1" applyBorder="1" applyAlignment="1" applyProtection="1">
      <alignment horizontal="center"/>
      <protection locked="0"/>
    </xf>
    <xf numFmtId="0" fontId="21" fillId="0" borderId="3" xfId="0" applyFont="1" applyBorder="1" applyAlignment="1">
      <alignment horizontal="center"/>
    </xf>
    <xf numFmtId="168" fontId="14"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172" fontId="0" fillId="5" borderId="6" xfId="0" applyNumberFormat="1" applyFill="1" applyBorder="1" applyAlignment="1" applyProtection="1">
      <alignment horizontal="center"/>
      <protection locked="0"/>
    </xf>
    <xf numFmtId="1" fontId="23"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3" fillId="0" borderId="11" xfId="0" applyNumberFormat="1" applyFont="1" applyBorder="1" applyAlignment="1">
      <alignment horizontal="center"/>
    </xf>
    <xf numFmtId="1" fontId="23" fillId="5" borderId="11" xfId="0" quotePrefix="1" applyNumberFormat="1" applyFont="1" applyFill="1" applyBorder="1" applyAlignment="1" applyProtection="1">
      <alignment horizontal="center"/>
      <protection locked="0"/>
    </xf>
    <xf numFmtId="0" fontId="33" fillId="5" borderId="6" xfId="0" applyFont="1" applyFill="1" applyBorder="1" applyAlignment="1" applyProtection="1">
      <alignment horizontal="left"/>
      <protection locked="0"/>
    </xf>
    <xf numFmtId="0" fontId="0" fillId="5" borderId="6" xfId="0" applyFill="1" applyBorder="1" applyAlignment="1" applyProtection="1">
      <alignment horizontal="right"/>
      <protection locked="0"/>
    </xf>
    <xf numFmtId="0" fontId="14" fillId="0" borderId="6" xfId="0" applyFont="1" applyBorder="1" applyAlignment="1" applyProtection="1">
      <alignment horizontal="center"/>
      <protection locked="0"/>
    </xf>
    <xf numFmtId="166" fontId="14" fillId="5" borderId="6" xfId="0" applyNumberFormat="1" applyFont="1" applyFill="1" applyBorder="1" applyAlignment="1" applyProtection="1">
      <alignment horizontal="left"/>
      <protection locked="0"/>
    </xf>
    <xf numFmtId="0" fontId="14" fillId="5" borderId="6" xfId="244" applyFont="1" applyFill="1" applyBorder="1" applyAlignment="1" applyProtection="1">
      <alignment horizontal="left"/>
      <protection locked="0"/>
    </xf>
    <xf numFmtId="166" fontId="14" fillId="5" borderId="6" xfId="271" applyNumberFormat="1"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0" fontId="14" fillId="43" borderId="6" xfId="0" applyFont="1" applyFill="1" applyBorder="1" applyAlignment="1" applyProtection="1">
      <alignment vertical="center"/>
      <protection locked="0"/>
    </xf>
    <xf numFmtId="168" fontId="23" fillId="0" borderId="6" xfId="0" applyNumberFormat="1" applyFont="1" applyBorder="1" applyAlignment="1">
      <alignment horizontal="center"/>
    </xf>
    <xf numFmtId="0" fontId="23" fillId="5" borderId="6" xfId="0" applyFont="1" applyFill="1" applyBorder="1" applyAlignment="1" applyProtection="1">
      <alignment horizontal="left" wrapText="1"/>
      <protection locked="0"/>
    </xf>
    <xf numFmtId="0" fontId="22" fillId="0" borderId="0" xfId="0" applyFont="1" applyAlignment="1">
      <alignment horizontal="center"/>
    </xf>
    <xf numFmtId="0" fontId="0" fillId="5" borderId="6" xfId="0" applyFill="1" applyBorder="1" applyProtection="1">
      <protection locked="0"/>
    </xf>
    <xf numFmtId="0" fontId="14" fillId="0" borderId="4" xfId="0" applyFont="1" applyBorder="1" applyAlignment="1" applyProtection="1">
      <alignment horizontal="left"/>
      <protection locked="0"/>
    </xf>
    <xf numFmtId="0" fontId="23"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4" fillId="0" borderId="0" xfId="0" applyFont="1" applyAlignment="1" applyProtection="1">
      <alignment horizontal="left"/>
      <protection locked="0"/>
    </xf>
    <xf numFmtId="0" fontId="14" fillId="0" borderId="6" xfId="0" applyFont="1" applyBorder="1" applyAlignment="1">
      <alignment horizontal="left"/>
    </xf>
    <xf numFmtId="168" fontId="0" fillId="0" borderId="6" xfId="0" applyNumberFormat="1" applyBorder="1" applyAlignment="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3" fillId="0" borderId="6" xfId="0" applyFont="1" applyBorder="1" applyAlignment="1">
      <alignment horizontal="left" wrapText="1"/>
    </xf>
    <xf numFmtId="0" fontId="14"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22" fillId="43" borderId="6" xfId="0" applyFont="1" applyFill="1" applyBorder="1" applyAlignment="1" applyProtection="1">
      <alignment horizontal="left"/>
      <protection locked="0"/>
    </xf>
    <xf numFmtId="0" fontId="167" fillId="0" borderId="0" xfId="0" applyFont="1" applyAlignment="1" applyProtection="1">
      <alignment horizontal="left" vertical="top" wrapText="1"/>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23" fillId="0" borderId="6" xfId="0" applyFont="1" applyBorder="1" applyAlignment="1">
      <alignment horizontal="left"/>
    </xf>
    <xf numFmtId="166" fontId="14" fillId="5" borderId="4" xfId="271" applyNumberFormat="1" applyFont="1" applyFill="1" applyBorder="1" applyAlignment="1" applyProtection="1">
      <alignment horizontal="left"/>
      <protection locked="0"/>
    </xf>
    <xf numFmtId="166" fontId="23" fillId="5" borderId="4" xfId="271" applyNumberFormat="1" applyFill="1" applyBorder="1" applyAlignment="1" applyProtection="1">
      <alignment horizontal="left"/>
      <protection locked="0"/>
    </xf>
    <xf numFmtId="0" fontId="14" fillId="5" borderId="0" xfId="244" applyFont="1" applyFill="1" applyBorder="1" applyAlignment="1" applyProtection="1">
      <alignment horizontal="left"/>
      <protection locked="0"/>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178" fontId="23" fillId="5" borderId="4" xfId="0" applyNumberFormat="1" applyFont="1" applyFill="1" applyBorder="1" applyAlignment="1" applyProtection="1">
      <alignment horizontal="right"/>
      <protection locked="0"/>
    </xf>
    <xf numFmtId="0" fontId="14" fillId="43" borderId="4" xfId="0" applyFont="1" applyFill="1" applyBorder="1" applyAlignment="1" applyProtection="1">
      <alignment horizontal="left" wrapText="1"/>
      <protection locked="0"/>
    </xf>
    <xf numFmtId="180" fontId="0" fillId="0" borderId="6" xfId="0" applyNumberFormat="1" applyBorder="1" applyAlignment="1">
      <alignment horizontal="center"/>
    </xf>
    <xf numFmtId="168" fontId="0" fillId="43" borderId="6" xfId="0" applyNumberFormat="1" applyFill="1" applyBorder="1" applyAlignment="1" applyProtection="1">
      <alignment horizontal="right"/>
      <protection locked="0"/>
    </xf>
    <xf numFmtId="3" fontId="23" fillId="5" borderId="11" xfId="0" applyNumberFormat="1" applyFont="1" applyFill="1" applyBorder="1" applyAlignment="1" applyProtection="1">
      <alignment horizontal="center"/>
      <protection locked="0"/>
    </xf>
    <xf numFmtId="168" fontId="23" fillId="0" borderId="11" xfId="0" applyNumberFormat="1" applyFont="1" applyBorder="1" applyAlignment="1">
      <alignment horizontal="center"/>
    </xf>
    <xf numFmtId="10" fontId="14" fillId="43" borderId="6" xfId="0" applyNumberFormat="1" applyFont="1" applyFill="1" applyBorder="1" applyAlignment="1" applyProtection="1">
      <alignment horizontal="center"/>
      <protection locked="0"/>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3" fillId="0" borderId="11" xfId="0" applyNumberFormat="1" applyFont="1" applyBorder="1" applyAlignment="1">
      <alignment horizontal="center"/>
    </xf>
    <xf numFmtId="0" fontId="0" fillId="43" borderId="10" xfId="0" applyFill="1" applyBorder="1" applyAlignment="1" applyProtection="1">
      <alignment horizontal="left"/>
      <protection locked="0"/>
    </xf>
    <xf numFmtId="0" fontId="0" fillId="5" borderId="3" xfId="0"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1" fillId="0" borderId="10" xfId="0" applyFont="1" applyBorder="1" applyAlignment="1">
      <alignment horizontal="center"/>
    </xf>
    <xf numFmtId="3" fontId="0" fillId="0" borderId="6" xfId="0" applyNumberFormat="1" applyBorder="1" applyAlignment="1">
      <alignment horizontal="right"/>
    </xf>
    <xf numFmtId="0" fontId="14" fillId="5" borderId="9" xfId="0" applyFont="1" applyFill="1" applyBorder="1" applyAlignment="1" applyProtection="1">
      <alignment horizontal="center"/>
      <protection locked="0"/>
    </xf>
    <xf numFmtId="0" fontId="14" fillId="5" borderId="3" xfId="0" applyFont="1" applyFill="1" applyBorder="1" applyAlignment="1" applyProtection="1">
      <alignment horizontal="center"/>
      <protection locked="0"/>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6" xfId="0" applyFont="1" applyBorder="1" applyAlignment="1">
      <alignment vertical="top" wrapText="1"/>
    </xf>
    <xf numFmtId="177" fontId="23" fillId="5" borderId="6" xfId="0" applyNumberFormat="1" applyFont="1" applyFill="1" applyBorder="1" applyAlignment="1" applyProtection="1">
      <alignment horizontal="left" vertical="top" wrapText="1"/>
      <protection locked="0"/>
    </xf>
    <xf numFmtId="0" fontId="23" fillId="0" borderId="2" xfId="0" applyFont="1" applyBorder="1" applyAlignment="1">
      <alignment vertical="top" wrapText="1"/>
    </xf>
    <xf numFmtId="0" fontId="51" fillId="0" borderId="0" xfId="0" applyFont="1" applyAlignment="1">
      <alignment vertical="top" wrapText="1"/>
    </xf>
    <xf numFmtId="0" fontId="23" fillId="0" borderId="2" xfId="0" applyFont="1" applyBorder="1" applyAlignment="1">
      <alignment horizontal="left" vertical="top" wrapText="1"/>
    </xf>
    <xf numFmtId="0" fontId="52" fillId="0" borderId="0" xfId="0" applyFont="1" applyAlignment="1">
      <alignment vertical="top" wrapText="1"/>
    </xf>
    <xf numFmtId="0" fontId="23" fillId="0" borderId="0" xfId="0" applyFont="1" applyAlignment="1">
      <alignment vertical="top" wrapText="1"/>
    </xf>
    <xf numFmtId="0" fontId="23" fillId="0" borderId="6" xfId="0" applyFont="1" applyBorder="1" applyAlignment="1">
      <alignment horizontal="right" vertical="top" wrapText="1"/>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44" fontId="2" fillId="44"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2" fillId="49" borderId="11" xfId="8726"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2" fillId="49" borderId="91" xfId="8726" applyFill="1" applyBorder="1" applyAlignment="1" applyProtection="1">
      <alignment horizontal="center"/>
      <protection locked="0"/>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protection hidden="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9" fontId="147" fillId="49" borderId="13" xfId="8726" applyNumberFormat="1" applyFont="1" applyFill="1" applyBorder="1" applyAlignment="1" applyProtection="1">
      <alignment horizontal="center"/>
      <protection locked="0"/>
    </xf>
    <xf numFmtId="0" fontId="147" fillId="44" borderId="86"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0" fontId="147" fillId="44" borderId="88" xfId="8726" applyFont="1" applyFill="1" applyBorder="1" applyAlignment="1">
      <alignment horizontal="center"/>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0" fontId="162"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0" fontId="144" fillId="45" borderId="70"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9" borderId="80" xfId="8726" applyFont="1" applyFill="1" applyBorder="1" applyAlignment="1" applyProtection="1">
      <alignment horizontal="left" vertical="top" wrapText="1"/>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80"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61" fillId="49" borderId="80" xfId="8726" applyFont="1" applyFill="1" applyBorder="1" applyAlignment="1" applyProtection="1">
      <alignment horizontal="center"/>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wrapText="1"/>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80"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00" fillId="45" borderId="91" xfId="8726" applyFont="1" applyFill="1" applyBorder="1" applyAlignment="1">
      <alignment horizontal="center"/>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63" fillId="49" borderId="11" xfId="8726" applyFont="1" applyFill="1" applyBorder="1" applyAlignment="1" applyProtection="1">
      <alignment horizontal="center"/>
      <protection locked="0"/>
    </xf>
    <xf numFmtId="14" fontId="161"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14" fontId="163" fillId="49" borderId="11" xfId="8726" applyNumberFormat="1" applyFont="1" applyFill="1" applyBorder="1" applyAlignment="1" applyProtection="1">
      <alignment horizontal="center"/>
      <protection locked="0"/>
    </xf>
    <xf numFmtId="0" fontId="157" fillId="49" borderId="11" xfId="8726" applyFont="1" applyFill="1" applyBorder="1" applyAlignment="1" applyProtection="1">
      <alignment horizontal="left"/>
      <protection locked="0"/>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44" fillId="45" borderId="74" xfId="8726" applyFont="1" applyFill="1" applyBorder="1" applyAlignment="1">
      <alignment horizontal="left"/>
    </xf>
    <xf numFmtId="14" fontId="161" fillId="49" borderId="91" xfId="8726" applyNumberFormat="1" applyFont="1" applyFill="1" applyBorder="1" applyAlignment="1" applyProtection="1">
      <alignment horizontal="center"/>
      <protection locked="0"/>
    </xf>
    <xf numFmtId="168" fontId="161" fillId="44" borderId="11" xfId="700" applyNumberFormat="1" applyFont="1" applyFill="1" applyBorder="1" applyAlignment="1">
      <alignment horizontal="left"/>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44" fontId="2" fillId="49" borderId="11" xfId="700" applyFont="1" applyFill="1" applyBorder="1" applyAlignment="1" applyProtection="1">
      <alignment horizontal="center"/>
      <protection locked="0"/>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168" fontId="161" fillId="49" borderId="11" xfId="700" applyNumberFormat="1" applyFont="1" applyFill="1" applyBorder="1" applyAlignment="1" applyProtection="1">
      <alignment horizontal="left"/>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182" fontId="2" fillId="49" borderId="11" xfId="700" applyNumberFormat="1" applyFont="1" applyFill="1" applyBorder="1" applyAlignment="1" applyProtection="1">
      <alignment horizontal="center"/>
      <protection locked="0"/>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3" fillId="49" borderId="1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43" fontId="145" fillId="53" borderId="41"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44" fontId="176" fillId="49" borderId="11" xfId="700" applyFont="1" applyFill="1" applyBorder="1" applyAlignment="1" applyProtection="1">
      <alignment horizontal="center"/>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89"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5" fontId="120" fillId="0" borderId="60"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5" borderId="6" xfId="4496" applyFont="1" applyFill="1" applyBorder="1" applyAlignment="1" applyProtection="1">
      <alignment horizontal="center"/>
      <protection locked="0"/>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21" fillId="0" borderId="0" xfId="4495" applyFont="1" applyAlignment="1">
      <alignment horizontal="right"/>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0" fontId="21" fillId="0" borderId="0" xfId="4495" applyFont="1" applyAlignment="1">
      <alignment horizontal="center" vertical="top"/>
    </xf>
    <xf numFmtId="0" fontId="14" fillId="5" borderId="6" xfId="4495" applyFont="1" applyFill="1" applyBorder="1" applyAlignment="1" applyProtection="1">
      <alignment horizontal="left"/>
      <protection locked="0"/>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4" fillId="0" borderId="0" xfId="1192" applyAlignment="1">
      <alignment horizontal="right"/>
    </xf>
    <xf numFmtId="0" fontId="14" fillId="5" borderId="6" xfId="1192" applyFill="1" applyBorder="1" applyAlignment="1" applyProtection="1">
      <alignment horizontal="left"/>
      <protection locked="0"/>
    </xf>
    <xf numFmtId="168" fontId="14" fillId="43" borderId="6" xfId="4495" applyNumberFormat="1" applyFont="1" applyFill="1" applyBorder="1" applyAlignment="1" applyProtection="1">
      <alignment horizontal="right"/>
      <protection locked="0"/>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2" xfId="1192" applyNumberFormat="1" applyFill="1" applyBorder="1" applyAlignment="1" applyProtection="1">
      <alignment horizontal="center"/>
      <protection locked="0"/>
    </xf>
    <xf numFmtId="9" fontId="14" fillId="5" borderId="4" xfId="1192" applyNumberFormat="1" applyFill="1" applyBorder="1" applyAlignment="1" applyProtection="1">
      <alignment horizontal="left"/>
      <protection locked="0"/>
    </xf>
    <xf numFmtId="168" fontId="14" fillId="0" borderId="0" xfId="1192" applyNumberFormat="1" applyAlignment="1">
      <alignment horizontal="right"/>
    </xf>
    <xf numFmtId="1" fontId="14" fillId="5" borderId="4" xfId="1192" applyNumberFormat="1" applyFill="1" applyBorder="1" applyAlignment="1" applyProtection="1">
      <alignment horizontal="center"/>
      <protection locked="0"/>
    </xf>
    <xf numFmtId="0" fontId="140" fillId="0" borderId="6" xfId="1192" applyFont="1" applyBorder="1" applyAlignment="1">
      <alignment horizontal="center"/>
    </xf>
    <xf numFmtId="168" fontId="14" fillId="5" borderId="4" xfId="1192" applyNumberFormat="1" applyFill="1" applyBorder="1" applyAlignment="1" applyProtection="1">
      <alignment horizontal="center"/>
      <protection locked="0"/>
    </xf>
    <xf numFmtId="2" fontId="14" fillId="0" borderId="0" xfId="1192" applyNumberFormat="1" applyAlignment="1">
      <alignment horizontal="right"/>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51" fillId="5" borderId="6" xfId="4495" applyFont="1" applyFill="1" applyBorder="1" applyAlignment="1" applyProtection="1">
      <alignment horizontal="left"/>
      <protection locked="0"/>
    </xf>
    <xf numFmtId="0" fontId="14" fillId="5" borderId="6" xfId="4495" applyFont="1" applyFill="1" applyBorder="1" applyAlignment="1" applyProtection="1">
      <alignment horizontal="center"/>
      <protection locked="0"/>
    </xf>
    <xf numFmtId="0" fontId="14" fillId="44" borderId="6" xfId="4495" applyFont="1" applyFill="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0" fontId="118" fillId="5" borderId="6" xfId="4495" applyFill="1" applyBorder="1" applyAlignment="1" applyProtection="1">
      <alignment horizontal="center"/>
      <protection locked="0"/>
    </xf>
    <xf numFmtId="0" fontId="21" fillId="0" borderId="0" xfId="4495" applyFont="1" applyAlignment="1">
      <alignment horizontal="left" vertical="top"/>
    </xf>
    <xf numFmtId="0" fontId="118" fillId="0" borderId="0" xfId="4495" applyAlignment="1" applyProtection="1">
      <alignment horizontal="center"/>
      <protection locked="0"/>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168" fontId="14" fillId="0" borderId="6" xfId="4496" applyNumberFormat="1" applyFont="1" applyBorder="1" applyAlignment="1">
      <alignment horizontal="center"/>
    </xf>
    <xf numFmtId="9" fontId="14" fillId="0" borderId="4" xfId="543" applyNumberFormat="1" applyBorder="1" applyAlignment="1">
      <alignment horizontal="center"/>
    </xf>
    <xf numFmtId="0" fontId="14" fillId="0" borderId="4" xfId="4496" applyFont="1" applyBorder="1" applyAlignment="1">
      <alignment horizontal="center"/>
    </xf>
    <xf numFmtId="0" fontId="14" fillId="0" borderId="5" xfId="4496" applyFon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165" fontId="14" fillId="0" borderId="0" xfId="1192" applyNumberFormat="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0" fontId="14" fillId="0" borderId="59" xfId="4495" applyFont="1" applyBorder="1" applyAlignment="1">
      <alignment horizontal="left" vertical="top" wrapText="1"/>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28" fillId="0" borderId="0" xfId="4495" applyFont="1" applyAlignment="1">
      <alignment horizontal="left" vertical="top" wrapText="1"/>
    </xf>
    <xf numFmtId="0" fontId="118" fillId="5" borderId="55" xfId="4495" applyFill="1" applyBorder="1" applyAlignment="1" applyProtection="1">
      <alignment horizontal="center"/>
      <protection locked="0"/>
    </xf>
    <xf numFmtId="0" fontId="21" fillId="0" borderId="0" xfId="4495" applyFont="1" applyAlignment="1">
      <alignment horizontal="center"/>
    </xf>
    <xf numFmtId="0" fontId="21" fillId="0" borderId="54" xfId="4495" applyFont="1" applyBorder="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54" xfId="4495" applyFont="1" applyBorder="1" applyAlignment="1">
      <alignment horizontal="center" vertical="top"/>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center" vertical="center" wrapText="1" shrinkToFit="1"/>
      <protection locked="0"/>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22" fillId="0" borderId="0" xfId="4495" applyFont="1" applyAlignment="1">
      <alignment horizontal="center"/>
    </xf>
    <xf numFmtId="0" fontId="14" fillId="0" borderId="0" xfId="4495" applyFont="1" applyAlignment="1">
      <alignment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21" fillId="0" borderId="0" xfId="4495" applyFont="1" applyAlignment="1">
      <alignment horizontal="left" vertical="top" wrapText="1"/>
    </xf>
    <xf numFmtId="0" fontId="14" fillId="45" borderId="11" xfId="4495" applyFont="1" applyFill="1" applyBorder="1" applyAlignment="1">
      <alignment horizontal="center"/>
    </xf>
    <xf numFmtId="0" fontId="128" fillId="0" borderId="0" xfId="4495" applyFont="1" applyAlignment="1">
      <alignment horizontal="left" vertical="center" wrapText="1"/>
    </xf>
    <xf numFmtId="0" fontId="21" fillId="0" borderId="11" xfId="4495" applyFont="1" applyBorder="1" applyAlignment="1">
      <alignment horizontal="center"/>
    </xf>
    <xf numFmtId="0" fontId="22" fillId="0" borderId="58" xfId="4495" applyFont="1" applyBorder="1" applyAlignment="1">
      <alignment horizontal="left" vertical="top" wrapText="1"/>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118" fillId="5" borderId="50" xfId="4495" applyFill="1" applyBorder="1" applyAlignment="1">
      <alignment horizontal="center"/>
    </xf>
    <xf numFmtId="0" fontId="118" fillId="5" borderId="51" xfId="4495" applyFill="1" applyBorder="1" applyAlignment="1">
      <alignment horizontal="center"/>
    </xf>
    <xf numFmtId="0" fontId="51" fillId="0" borderId="51" xfId="4495" applyFont="1" applyBorder="1" applyAlignment="1">
      <alignment horizontal="left" wrapText="1"/>
    </xf>
    <xf numFmtId="0" fontId="51" fillId="0" borderId="0" xfId="4495" applyFont="1" applyAlignment="1">
      <alignment horizontal="left"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0" borderId="0" xfId="4495" applyAlignment="1">
      <alignment horizontal="center"/>
    </xf>
    <xf numFmtId="9" fontId="22" fillId="5" borderId="6"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0" borderId="53" xfId="4495" applyBorder="1"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1" fillId="0" borderId="4" xfId="4495" applyFont="1" applyBorder="1" applyAlignment="1">
      <alignment horizontal="left"/>
    </xf>
    <xf numFmtId="0" fontId="21" fillId="0" borderId="5" xfId="4495" applyFont="1" applyBorder="1" applyAlignment="1">
      <alignment horizontal="left"/>
    </xf>
    <xf numFmtId="1" fontId="21" fillId="0" borderId="4" xfId="4495" applyNumberFormat="1"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21" fillId="0" borderId="3" xfId="4495"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1" fontId="21" fillId="0" borderId="11" xfId="4495" applyNumberFormat="1" applyFont="1" applyBorder="1" applyAlignment="1">
      <alignment horizontal="center"/>
    </xf>
    <xf numFmtId="0" fontId="14" fillId="0" borderId="4" xfId="4495" applyFont="1" applyBorder="1" applyAlignment="1">
      <alignment horizontal="left"/>
    </xf>
    <xf numFmtId="0" fontId="14" fillId="0" borderId="5" xfId="4495" applyFont="1" applyBorder="1" applyAlignment="1">
      <alignment horizontal="left"/>
    </xf>
    <xf numFmtId="1" fontId="14" fillId="46" borderId="11" xfId="4495" applyNumberFormat="1" applyFont="1" applyFill="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68" fontId="14" fillId="0" borderId="6" xfId="1192" applyNumberFormat="1" applyBorder="1" applyAlignment="1">
      <alignment horizontal="right"/>
    </xf>
    <xf numFmtId="0" fontId="116" fillId="0" borderId="4" xfId="1192" applyFont="1" applyBorder="1" applyAlignment="1">
      <alignment horizontal="left"/>
    </xf>
    <xf numFmtId="168" fontId="14" fillId="43" borderId="6" xfId="543" applyNumberFormat="1" applyFill="1" applyBorder="1" applyAlignment="1" applyProtection="1">
      <alignment horizontal="center"/>
      <protection locked="0"/>
    </xf>
    <xf numFmtId="0" fontId="14" fillId="0" borderId="6" xfId="1192" applyBorder="1" applyAlignment="1">
      <alignment horizontal="left"/>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10" fontId="22" fillId="0" borderId="2" xfId="4495" applyNumberFormat="1" applyFont="1" applyBorder="1" applyAlignment="1">
      <alignment horizontal="center"/>
    </xf>
    <xf numFmtId="4" fontId="22" fillId="0" borderId="0" xfId="4495" applyNumberFormat="1" applyFont="1" applyAlignment="1">
      <alignment horizontal="center"/>
    </xf>
    <xf numFmtId="0" fontId="30" fillId="42" borderId="2" xfId="4495" applyFont="1" applyFill="1" applyBorder="1" applyAlignment="1">
      <alignment horizontal="center"/>
    </xf>
    <xf numFmtId="0" fontId="30" fillId="42" borderId="6" xfId="4495" applyFont="1" applyFill="1" applyBorder="1" applyAlignment="1">
      <alignment horizontal="center"/>
    </xf>
    <xf numFmtId="4" fontId="22" fillId="0" borderId="6" xfId="4495" applyNumberFormat="1" applyFont="1" applyBorder="1" applyAlignment="1">
      <alignment horizontal="center"/>
    </xf>
    <xf numFmtId="168" fontId="14" fillId="0" borderId="4" xfId="1192" applyNumberFormat="1" applyBorder="1" applyAlignment="1">
      <alignment horizontal="right"/>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0" fontId="140" fillId="0" borderId="0" xfId="1192" applyFont="1" applyAlignment="1">
      <alignment horizontal="center"/>
    </xf>
    <xf numFmtId="0" fontId="96" fillId="0" borderId="0" xfId="4496" applyFont="1" applyAlignment="1">
      <alignment horizontal="left" wrapText="1"/>
    </xf>
    <xf numFmtId="0" fontId="96" fillId="43" borderId="0" xfId="4496" applyFont="1" applyFill="1" applyAlignment="1" applyProtection="1">
      <alignment horizontal="left" vertical="top" wrapText="1"/>
      <protection locked="0"/>
    </xf>
    <xf numFmtId="0" fontId="96" fillId="43" borderId="6" xfId="4496" applyFont="1" applyFill="1" applyBorder="1" applyAlignment="1" applyProtection="1">
      <alignment horizontal="left" vertical="top" wrapText="1"/>
      <protection locked="0"/>
    </xf>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11" xfId="4496" applyFont="1" applyBorder="1"/>
    <xf numFmtId="0" fontId="96" fillId="0" borderId="91" xfId="4496" applyFont="1" applyBorder="1"/>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0" fontId="96" fillId="0" borderId="71" xfId="4496" applyFont="1" applyBorder="1"/>
    <xf numFmtId="0" fontId="96" fillId="0" borderId="74" xfId="4496" applyFont="1" applyBorder="1"/>
    <xf numFmtId="49" fontId="134" fillId="3" borderId="0" xfId="1192" applyNumberFormat="1" applyFont="1" applyFill="1" applyAlignment="1">
      <alignment horizontal="center" vertical="center"/>
    </xf>
    <xf numFmtId="0" fontId="96" fillId="0" borderId="11" xfId="4496" applyFont="1" applyBorder="1" applyAlignment="1">
      <alignment horizontal="left" indent="1"/>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168" fontId="14" fillId="0" borderId="11" xfId="569" applyNumberFormat="1" applyBorder="1" applyAlignment="1">
      <alignment horizontal="right"/>
    </xf>
    <xf numFmtId="9" fontId="14" fillId="0" borderId="15" xfId="569" applyNumberFormat="1" applyBorder="1" applyAlignment="1">
      <alignment horizontal="center"/>
    </xf>
    <xf numFmtId="168" fontId="14" fillId="0" borderId="11" xfId="569" applyNumberFormat="1" applyBorder="1" applyAlignment="1">
      <alignment horizontal="center"/>
    </xf>
    <xf numFmtId="0" fontId="14" fillId="0" borderId="11"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0" applyFont="1" applyAlignment="1">
      <alignment horizontal="left" vertical="top"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21" fillId="0" borderId="6" xfId="569" applyFont="1" applyBorder="1" applyAlignment="1">
      <alignment horizontal="center"/>
    </xf>
    <xf numFmtId="168" fontId="14" fillId="0" borderId="3" xfId="569" applyNumberForma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0" fontId="105" fillId="0" borderId="0" xfId="569" applyFont="1" applyAlignment="1">
      <alignment horizontal="left" wrapText="1"/>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6" xfId="271" applyFont="1" applyBorder="1" applyAlignment="1">
      <alignment horizontal="center"/>
    </xf>
    <xf numFmtId="168" fontId="14" fillId="0" borderId="4" xfId="569" applyNumberFormat="1" applyBorder="1" applyAlignment="1">
      <alignment horizontal="center"/>
    </xf>
    <xf numFmtId="168" fontId="14" fillId="0" borderId="5" xfId="569" applyNumberFormat="1" applyBorder="1" applyAlignment="1">
      <alignment horizontal="center"/>
    </xf>
    <xf numFmtId="0" fontId="21" fillId="0" borderId="11" xfId="569" applyFont="1" applyBorder="1" applyAlignment="1">
      <alignment horizontal="center" wrapText="1"/>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0" fontId="51" fillId="0" borderId="0" xfId="569" applyFont="1" applyAlignment="1">
      <alignment horizontal="left"/>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9" fontId="14" fillId="0" borderId="5" xfId="569" applyNumberFormat="1" applyBorder="1" applyAlignment="1">
      <alignment horizontal="center"/>
    </xf>
    <xf numFmtId="9" fontId="14" fillId="0" borderId="11"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168" fontId="14" fillId="0" borderId="7" xfId="569" applyNumberFormat="1" applyBorder="1" applyAlignment="1">
      <alignment horizontal="center"/>
    </xf>
    <xf numFmtId="168" fontId="14" fillId="0" borderId="15"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179" fontId="21" fillId="0" borderId="0" xfId="569" applyNumberFormat="1" applyFont="1" applyAlignment="1">
      <alignment horizontal="center" wrapText="1"/>
    </xf>
    <xf numFmtId="164" fontId="21" fillId="0" borderId="0" xfId="569" applyNumberFormat="1" applyFont="1" applyAlignment="1">
      <alignment horizontal="center" wrapText="1"/>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0" fontId="19" fillId="0" borderId="6" xfId="271" applyFont="1" applyBorder="1" applyAlignment="1">
      <alignment horizontal="center"/>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cellXfs>
  <cellStyles count="17170">
    <cellStyle name="20% - Accent1" xfId="1" builtinId="30" customBuiltin="1"/>
    <cellStyle name="20% - Accent1 10" xfId="4505" xr:uid="{00000000-0005-0000-0000-000001000000}"/>
    <cellStyle name="20% - Accent1 10 2" xfId="12947" xr:uid="{752A7407-BB7B-4949-9C6B-BA1261DEA06F}"/>
    <cellStyle name="20% - Accent1 11" xfId="8729" xr:uid="{EEED617A-099D-4010-8489-B853495C9DCA}"/>
    <cellStyle name="20% - Accent1 2" xfId="2" xr:uid="{00000000-0005-0000-0000-000002000000}"/>
    <cellStyle name="20% - Accent1 2 10" xfId="8730" xr:uid="{84DB7DD1-BC95-4AED-A892-FFDE1DEAE012}"/>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23D3AAFE-6D60-41F4-9E7F-C5C3F8D85F2E}"/>
    <cellStyle name="20% - Accent1 2 2 2 2 2 3" xfId="11291" xr:uid="{65F3FC23-ED50-403B-88E6-66DBB63AB780}"/>
    <cellStyle name="20% - Accent1 2 2 2 2 3" xfId="4922" xr:uid="{00000000-0005-0000-0000-000008000000}"/>
    <cellStyle name="20% - Accent1 2 2 2 2 3 2" xfId="13364" xr:uid="{96885F78-15C8-4FC5-BFDE-2DEEE1295F85}"/>
    <cellStyle name="20% - Accent1 2 2 2 2 4" xfId="9146" xr:uid="{BA9CA462-DE54-415D-A3FB-9A55D216429E}"/>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DEAF74F4-0D84-4C29-9910-798E3326E0E1}"/>
    <cellStyle name="20% - Accent1 2 2 2 3 2 3" xfId="11704" xr:uid="{7F10C01F-BBDA-4E48-9E2E-067020769734}"/>
    <cellStyle name="20% - Accent1 2 2 2 3 3" xfId="5335" xr:uid="{00000000-0005-0000-0000-00000C000000}"/>
    <cellStyle name="20% - Accent1 2 2 2 3 3 2" xfId="13777" xr:uid="{F58F0941-ADCE-4647-A058-CC0E063521D6}"/>
    <cellStyle name="20% - Accent1 2 2 2 3 4" xfId="9559" xr:uid="{2A62E186-F4DE-45A9-88D0-21A7A4B0F673}"/>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4648ABE4-C17B-420D-B7E4-DBD28D5492F9}"/>
    <cellStyle name="20% - Accent1 2 2 2 4 2 3" xfId="12117" xr:uid="{2825EAE7-28D9-4E80-8C08-76A5B29A2720}"/>
    <cellStyle name="20% - Accent1 2 2 2 4 3" xfId="5748" xr:uid="{00000000-0005-0000-0000-000010000000}"/>
    <cellStyle name="20% - Accent1 2 2 2 4 3 2" xfId="14190" xr:uid="{8F8A9564-A6BD-4199-982E-4FDA38326DE5}"/>
    <cellStyle name="20% - Accent1 2 2 2 4 4" xfId="9972" xr:uid="{E64F97F1-3456-4F2C-873F-A15FC65F8D29}"/>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4673B510-9FF7-495D-8314-004334D2CEE0}"/>
    <cellStyle name="20% - Accent1 2 2 2 5 2 3" xfId="12530" xr:uid="{0158E1EB-D766-42EA-8EE0-68A9C439CE20}"/>
    <cellStyle name="20% - Accent1 2 2 2 5 3" xfId="6161" xr:uid="{00000000-0005-0000-0000-000014000000}"/>
    <cellStyle name="20% - Accent1 2 2 2 5 3 2" xfId="14603" xr:uid="{5889E5D8-3675-4A47-BEFC-DDE7DD58ABCE}"/>
    <cellStyle name="20% - Accent1 2 2 2 5 4" xfId="10385" xr:uid="{8537E857-F0A5-49FD-925A-E99B44284791}"/>
    <cellStyle name="20% - Accent1 2 2 2 6" xfId="2267" xr:uid="{00000000-0005-0000-0000-000015000000}"/>
    <cellStyle name="20% - Accent1 2 2 2 6 2" xfId="6574" xr:uid="{00000000-0005-0000-0000-000016000000}"/>
    <cellStyle name="20% - Accent1 2 2 2 6 2 2" xfId="15016" xr:uid="{1C4BD36C-8EAF-4622-A676-17B4FE090F4B}"/>
    <cellStyle name="20% - Accent1 2 2 2 6 3" xfId="10798" xr:uid="{9951B425-96A7-42DA-9CCA-03A9B66B4E1A}"/>
    <cellStyle name="20% - Accent1 2 2 2 7" xfId="4508" xr:uid="{00000000-0005-0000-0000-000017000000}"/>
    <cellStyle name="20% - Accent1 2 2 2 7 2" xfId="12950" xr:uid="{E5AFB9B1-9E24-4E06-8256-C5C9778E5398}"/>
    <cellStyle name="20% - Accent1 2 2 2 8" xfId="8732" xr:uid="{947AA332-0D1A-443B-85D7-5450F4D4D6C6}"/>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608D702A-C5BF-4E05-ADED-4A35D8B6772E}"/>
    <cellStyle name="20% - Accent1 2 2 3 2 3" xfId="11290" xr:uid="{98BC4DC8-49DD-4C57-B725-906BB6026030}"/>
    <cellStyle name="20% - Accent1 2 2 3 3" xfId="4921" xr:uid="{00000000-0005-0000-0000-00001B000000}"/>
    <cellStyle name="20% - Accent1 2 2 3 3 2" xfId="13363" xr:uid="{D41B2DE6-5091-4288-917C-6E042D47CEE8}"/>
    <cellStyle name="20% - Accent1 2 2 3 4" xfId="9145" xr:uid="{D471F6EB-442D-4F0D-A8B6-DB104E42BED9}"/>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032BA21B-42A2-46C3-8FF3-74966C90D258}"/>
    <cellStyle name="20% - Accent1 2 2 4 2 3" xfId="11703" xr:uid="{06C38411-5F3F-4640-9AEE-312D4094CF0A}"/>
    <cellStyle name="20% - Accent1 2 2 4 3" xfId="5334" xr:uid="{00000000-0005-0000-0000-00001F000000}"/>
    <cellStyle name="20% - Accent1 2 2 4 3 2" xfId="13776" xr:uid="{FEE44D6D-910F-449F-A8CE-47ACF796093B}"/>
    <cellStyle name="20% - Accent1 2 2 4 4" xfId="9558" xr:uid="{295EDE6F-8D69-4406-BB05-BD7C5E265620}"/>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8C275AC4-6756-403E-A1BB-E880360CF642}"/>
    <cellStyle name="20% - Accent1 2 2 5 2 3" xfId="12116" xr:uid="{469E794E-0F43-4639-B412-9DECA2B9C47A}"/>
    <cellStyle name="20% - Accent1 2 2 5 3" xfId="5747" xr:uid="{00000000-0005-0000-0000-000023000000}"/>
    <cellStyle name="20% - Accent1 2 2 5 3 2" xfId="14189" xr:uid="{094A1A61-BC7D-487C-ABB3-0605DE3F6ACA}"/>
    <cellStyle name="20% - Accent1 2 2 5 4" xfId="9971" xr:uid="{8BFA1DDA-2986-47AB-848D-24521DD7EF35}"/>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221894DC-51A9-4A13-9C4F-5BF527D26E65}"/>
    <cellStyle name="20% - Accent1 2 2 6 2 3" xfId="12529" xr:uid="{450978BD-E821-45E4-BB87-52DCD42CB111}"/>
    <cellStyle name="20% - Accent1 2 2 6 3" xfId="6160" xr:uid="{00000000-0005-0000-0000-000027000000}"/>
    <cellStyle name="20% - Accent1 2 2 6 3 2" xfId="14602" xr:uid="{D68E59FF-6EAE-4CD2-A762-3E3E02D46BD2}"/>
    <cellStyle name="20% - Accent1 2 2 6 4" xfId="10384" xr:uid="{D7FC5A71-36C8-481A-82E6-079D695412D5}"/>
    <cellStyle name="20% - Accent1 2 2 7" xfId="2266" xr:uid="{00000000-0005-0000-0000-000028000000}"/>
    <cellStyle name="20% - Accent1 2 2 7 2" xfId="6573" xr:uid="{00000000-0005-0000-0000-000029000000}"/>
    <cellStyle name="20% - Accent1 2 2 7 2 2" xfId="15015" xr:uid="{BB423FA6-45FC-488E-92D2-3B6D0614021B}"/>
    <cellStyle name="20% - Accent1 2 2 7 3" xfId="10797" xr:uid="{985D909A-0AC4-4014-B24C-3AF2DCAEA630}"/>
    <cellStyle name="20% - Accent1 2 2 8" xfId="4507" xr:uid="{00000000-0005-0000-0000-00002A000000}"/>
    <cellStyle name="20% - Accent1 2 2 8 2" xfId="12949" xr:uid="{2E930986-B3B3-498E-91B1-3833478D6E5C}"/>
    <cellStyle name="20% - Accent1 2 2 9" xfId="8731" xr:uid="{20B467B4-BC9A-486C-B485-A5C39D826891}"/>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D9CECC7A-D0F3-43C2-AAAF-054482466297}"/>
    <cellStyle name="20% - Accent1 2 3 2 2 3" xfId="11292" xr:uid="{F1162ED8-FBC6-4621-B556-16F5EC83F1E6}"/>
    <cellStyle name="20% - Accent1 2 3 2 3" xfId="4923" xr:uid="{00000000-0005-0000-0000-00002F000000}"/>
    <cellStyle name="20% - Accent1 2 3 2 3 2" xfId="13365" xr:uid="{B5718187-8372-4293-A1BA-0306EA733B17}"/>
    <cellStyle name="20% - Accent1 2 3 2 4" xfId="9147" xr:uid="{355A9DC8-F8E2-4BE4-9DE3-F10A70A26E7D}"/>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9F7652E3-6A66-4244-8E0D-425D4CEE0BB2}"/>
    <cellStyle name="20% - Accent1 2 3 3 2 3" xfId="11705" xr:uid="{D7652583-F491-4938-A846-1071C5A40EFB}"/>
    <cellStyle name="20% - Accent1 2 3 3 3" xfId="5336" xr:uid="{00000000-0005-0000-0000-000033000000}"/>
    <cellStyle name="20% - Accent1 2 3 3 3 2" xfId="13778" xr:uid="{905C20D0-AB13-485F-B64E-BD06AF2AD4D9}"/>
    <cellStyle name="20% - Accent1 2 3 3 4" xfId="9560" xr:uid="{75D323F1-5009-4813-9449-BE9B7A11AF6B}"/>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83A79207-C13B-4973-ACEB-58E0C93E5854}"/>
    <cellStyle name="20% - Accent1 2 3 4 2 3" xfId="12118" xr:uid="{DB3C62DB-22DD-4802-ADED-EC2ADB6EF011}"/>
    <cellStyle name="20% - Accent1 2 3 4 3" xfId="5749" xr:uid="{00000000-0005-0000-0000-000037000000}"/>
    <cellStyle name="20% - Accent1 2 3 4 3 2" xfId="14191" xr:uid="{7D262484-EB02-4532-815A-4FC31984489E}"/>
    <cellStyle name="20% - Accent1 2 3 4 4" xfId="9973" xr:uid="{665EDAE0-0194-4C7E-81D1-E487B8B14FD1}"/>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704204D7-E1E8-4CBC-BE55-CC7A0E89B430}"/>
    <cellStyle name="20% - Accent1 2 3 5 2 3" xfId="12531" xr:uid="{A86AC183-216A-4E85-9A8F-37FBE0765D9A}"/>
    <cellStyle name="20% - Accent1 2 3 5 3" xfId="6162" xr:uid="{00000000-0005-0000-0000-00003B000000}"/>
    <cellStyle name="20% - Accent1 2 3 5 3 2" xfId="14604" xr:uid="{FE2832F0-9529-459C-8341-ADE2819BE6E0}"/>
    <cellStyle name="20% - Accent1 2 3 5 4" xfId="10386" xr:uid="{67A2B3EE-94FB-4141-A169-5F9C377D2AED}"/>
    <cellStyle name="20% - Accent1 2 3 6" xfId="2268" xr:uid="{00000000-0005-0000-0000-00003C000000}"/>
    <cellStyle name="20% - Accent1 2 3 6 2" xfId="6575" xr:uid="{00000000-0005-0000-0000-00003D000000}"/>
    <cellStyle name="20% - Accent1 2 3 6 2 2" xfId="15017" xr:uid="{C9F3F41C-AA1B-4023-BE4F-75BD71BA4DAB}"/>
    <cellStyle name="20% - Accent1 2 3 6 3" xfId="10799" xr:uid="{F3C2B751-8DC4-437B-A254-9144D4C9478F}"/>
    <cellStyle name="20% - Accent1 2 3 7" xfId="4509" xr:uid="{00000000-0005-0000-0000-00003E000000}"/>
    <cellStyle name="20% - Accent1 2 3 7 2" xfId="12951" xr:uid="{77AE180E-1CBC-4539-A183-9F57F9ADDE20}"/>
    <cellStyle name="20% - Accent1 2 3 8" xfId="8733" xr:uid="{B6A54A86-FBEA-4957-8A22-1BE5BFD25918}"/>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10545DFA-5B46-448A-AF5C-BAC64A4BF0A9}"/>
    <cellStyle name="20% - Accent1 2 4 2 3" xfId="11289" xr:uid="{680B3498-AD53-4B23-8B12-CA99F7D16F55}"/>
    <cellStyle name="20% - Accent1 2 4 3" xfId="4920" xr:uid="{00000000-0005-0000-0000-000042000000}"/>
    <cellStyle name="20% - Accent1 2 4 3 2" xfId="13362" xr:uid="{A07931D3-AE2B-415B-868A-91E893C20E11}"/>
    <cellStyle name="20% - Accent1 2 4 4" xfId="9144" xr:uid="{B019FF79-DD05-4C51-97D5-8DA28A8CE0A0}"/>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615F1147-1B57-4616-9827-143F155B3584}"/>
    <cellStyle name="20% - Accent1 2 5 2 3" xfId="11702" xr:uid="{59A2CCE1-C9BC-4898-9B54-28360FA5E5EB}"/>
    <cellStyle name="20% - Accent1 2 5 3" xfId="5333" xr:uid="{00000000-0005-0000-0000-000046000000}"/>
    <cellStyle name="20% - Accent1 2 5 3 2" xfId="13775" xr:uid="{198CD3B8-BBB2-45D6-9350-2EB61E4925D6}"/>
    <cellStyle name="20% - Accent1 2 5 4" xfId="9557" xr:uid="{6B12F69C-388A-4FFE-8ABD-2205E6D49AB0}"/>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D94B4085-AF18-4063-81E3-908E74404A13}"/>
    <cellStyle name="20% - Accent1 2 6 2 3" xfId="12115" xr:uid="{24A9A029-E6B4-4771-A4A9-ED54A68A40EB}"/>
    <cellStyle name="20% - Accent1 2 6 3" xfId="5746" xr:uid="{00000000-0005-0000-0000-00004A000000}"/>
    <cellStyle name="20% - Accent1 2 6 3 2" xfId="14188" xr:uid="{04FADB96-A0AA-4CD5-B8A5-77E22E7487BB}"/>
    <cellStyle name="20% - Accent1 2 6 4" xfId="9970" xr:uid="{000B60EB-3255-42B5-A488-45971092AE62}"/>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A123BCB9-DEFF-4845-A59B-93B6A4B19585}"/>
    <cellStyle name="20% - Accent1 2 7 2 3" xfId="12528" xr:uid="{330BAFD5-72D2-441E-B20F-2002EEF4F082}"/>
    <cellStyle name="20% - Accent1 2 7 3" xfId="6159" xr:uid="{00000000-0005-0000-0000-00004E000000}"/>
    <cellStyle name="20% - Accent1 2 7 3 2" xfId="14601" xr:uid="{4322BA2F-E9A1-466A-A194-2A35636D1C91}"/>
    <cellStyle name="20% - Accent1 2 7 4" xfId="10383" xr:uid="{04FA3AFA-BC92-46E6-9991-A7C38B13F5E9}"/>
    <cellStyle name="20% - Accent1 2 8" xfId="2265" xr:uid="{00000000-0005-0000-0000-00004F000000}"/>
    <cellStyle name="20% - Accent1 2 8 2" xfId="6572" xr:uid="{00000000-0005-0000-0000-000050000000}"/>
    <cellStyle name="20% - Accent1 2 8 2 2" xfId="15014" xr:uid="{D7B8F54F-E344-4FB0-9CD7-1C436BE5C209}"/>
    <cellStyle name="20% - Accent1 2 8 3" xfId="10796" xr:uid="{A56138B7-35A4-4C7B-816A-0B6C925C3A3C}"/>
    <cellStyle name="20% - Accent1 2 9" xfId="4506" xr:uid="{00000000-0005-0000-0000-000051000000}"/>
    <cellStyle name="20% - Accent1 2 9 2" xfId="12948" xr:uid="{72366BB7-377F-49FB-B2BB-57F7D8133AF2}"/>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E009A137-D0CA-4205-9C7B-6DB50123DECD}"/>
    <cellStyle name="20% - Accent1 3 2 2 2 3" xfId="11294" xr:uid="{BA759BCB-022E-4901-A42C-AAD73EDC7CDF}"/>
    <cellStyle name="20% - Accent1 3 2 2 3" xfId="4925" xr:uid="{00000000-0005-0000-0000-000057000000}"/>
    <cellStyle name="20% - Accent1 3 2 2 3 2" xfId="13367" xr:uid="{24F5BA05-D282-4301-BBB3-076DE390B5B9}"/>
    <cellStyle name="20% - Accent1 3 2 2 4" xfId="9149" xr:uid="{4C4748F1-2742-4892-B394-5F519E399711}"/>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B4A3FEC3-1013-43D0-87FC-8B314043CEEF}"/>
    <cellStyle name="20% - Accent1 3 2 3 2 3" xfId="11707" xr:uid="{CB108962-3228-4668-A793-E6A7573AA55D}"/>
    <cellStyle name="20% - Accent1 3 2 3 3" xfId="5338" xr:uid="{00000000-0005-0000-0000-00005B000000}"/>
    <cellStyle name="20% - Accent1 3 2 3 3 2" xfId="13780" xr:uid="{C9C89929-7D11-4F9D-8D49-480F51052173}"/>
    <cellStyle name="20% - Accent1 3 2 3 4" xfId="9562" xr:uid="{EFAA4870-5854-4355-A830-CDA18D6833FF}"/>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A886B92B-1EDC-47A3-B12E-6FCE9FC5251A}"/>
    <cellStyle name="20% - Accent1 3 2 4 2 3" xfId="12120" xr:uid="{58FA8444-3E14-47FD-97B2-851AC23E2FCF}"/>
    <cellStyle name="20% - Accent1 3 2 4 3" xfId="5751" xr:uid="{00000000-0005-0000-0000-00005F000000}"/>
    <cellStyle name="20% - Accent1 3 2 4 3 2" xfId="14193" xr:uid="{4AE8A318-8663-44F9-AEB3-5752C0FD8C13}"/>
    <cellStyle name="20% - Accent1 3 2 4 4" xfId="9975" xr:uid="{C61121BD-55F4-4AB4-ADC2-25531BCDE168}"/>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D79A4C1D-1922-4879-90C5-42B84AFC03AA}"/>
    <cellStyle name="20% - Accent1 3 2 5 2 3" xfId="12533" xr:uid="{16106C28-AA73-4CF4-8F69-847B7BFF350E}"/>
    <cellStyle name="20% - Accent1 3 2 5 3" xfId="6164" xr:uid="{00000000-0005-0000-0000-000063000000}"/>
    <cellStyle name="20% - Accent1 3 2 5 3 2" xfId="14606" xr:uid="{FC885864-5227-45A2-93F2-C2C2D9332B49}"/>
    <cellStyle name="20% - Accent1 3 2 5 4" xfId="10388" xr:uid="{0BAE1458-1140-412F-96D8-977F894E147C}"/>
    <cellStyle name="20% - Accent1 3 2 6" xfId="2270" xr:uid="{00000000-0005-0000-0000-000064000000}"/>
    <cellStyle name="20% - Accent1 3 2 6 2" xfId="6577" xr:uid="{00000000-0005-0000-0000-000065000000}"/>
    <cellStyle name="20% - Accent1 3 2 6 2 2" xfId="15019" xr:uid="{A226D727-C582-4F82-BE5A-E90FCB1C1D37}"/>
    <cellStyle name="20% - Accent1 3 2 6 3" xfId="10801" xr:uid="{0B2FDF05-1602-469D-AFCD-12FF6F539C6D}"/>
    <cellStyle name="20% - Accent1 3 2 7" xfId="4511" xr:uid="{00000000-0005-0000-0000-000066000000}"/>
    <cellStyle name="20% - Accent1 3 2 7 2" xfId="12953" xr:uid="{8266D46B-9E75-4E79-BA1E-859ED7936ECA}"/>
    <cellStyle name="20% - Accent1 3 2 8" xfId="8735" xr:uid="{AD1456ED-F93E-4133-A344-78CD6360A508}"/>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D50CCEFA-BFB8-4709-9254-EFAE253F280D}"/>
    <cellStyle name="20% - Accent1 3 3 2 3" xfId="11293" xr:uid="{BC6A8498-78DC-4097-80C1-A315E911F639}"/>
    <cellStyle name="20% - Accent1 3 3 3" xfId="4924" xr:uid="{00000000-0005-0000-0000-00006A000000}"/>
    <cellStyle name="20% - Accent1 3 3 3 2" xfId="13366" xr:uid="{9B770B45-530B-4E43-AEB1-68FF5F1AA770}"/>
    <cellStyle name="20% - Accent1 3 3 4" xfId="9148" xr:uid="{E8469FDA-6686-45E9-A292-8021C57D996A}"/>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89331EF8-C45C-4469-8A21-0C444C1D0483}"/>
    <cellStyle name="20% - Accent1 3 4 2 3" xfId="11706" xr:uid="{60178766-A103-47C0-98F6-E08DCE67D7C4}"/>
    <cellStyle name="20% - Accent1 3 4 3" xfId="5337" xr:uid="{00000000-0005-0000-0000-00006E000000}"/>
    <cellStyle name="20% - Accent1 3 4 3 2" xfId="13779" xr:uid="{1DDA8620-C9C3-4EEF-87D0-D33B95359B68}"/>
    <cellStyle name="20% - Accent1 3 4 4" xfId="9561" xr:uid="{5D0A2DD2-E73A-4360-8CE9-60EAD1268294}"/>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397C9342-2B5C-49DF-BE69-9514A5517596}"/>
    <cellStyle name="20% - Accent1 3 5 2 3" xfId="12119" xr:uid="{CE33EFA4-832C-459F-B99A-6B1C57ABC7CF}"/>
    <cellStyle name="20% - Accent1 3 5 3" xfId="5750" xr:uid="{00000000-0005-0000-0000-000072000000}"/>
    <cellStyle name="20% - Accent1 3 5 3 2" xfId="14192" xr:uid="{83D830D2-7409-4227-8660-D8FE62ABEA87}"/>
    <cellStyle name="20% - Accent1 3 5 4" xfId="9974" xr:uid="{1043E5BB-43CC-40DF-8CF0-C7E06D7650C8}"/>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E147D945-BDDC-4D00-9E5B-031482CF681D}"/>
    <cellStyle name="20% - Accent1 3 6 2 3" xfId="12532" xr:uid="{3421E587-6B08-4B6D-904C-C3100A9EFEA3}"/>
    <cellStyle name="20% - Accent1 3 6 3" xfId="6163" xr:uid="{00000000-0005-0000-0000-000076000000}"/>
    <cellStyle name="20% - Accent1 3 6 3 2" xfId="14605" xr:uid="{D8BE6364-7D5F-4FF6-874D-19C4CB0B5CB9}"/>
    <cellStyle name="20% - Accent1 3 6 4" xfId="10387" xr:uid="{E72C2EF8-5619-46C0-BFEE-FB6922859D04}"/>
    <cellStyle name="20% - Accent1 3 7" xfId="2269" xr:uid="{00000000-0005-0000-0000-000077000000}"/>
    <cellStyle name="20% - Accent1 3 7 2" xfId="6576" xr:uid="{00000000-0005-0000-0000-000078000000}"/>
    <cellStyle name="20% - Accent1 3 7 2 2" xfId="15018" xr:uid="{2E78D7F4-E874-435A-8969-A8CD436C6AFB}"/>
    <cellStyle name="20% - Accent1 3 7 3" xfId="10800" xr:uid="{C4AB21A4-6448-4398-B112-81FA9839D41A}"/>
    <cellStyle name="20% - Accent1 3 8" xfId="4510" xr:uid="{00000000-0005-0000-0000-000079000000}"/>
    <cellStyle name="20% - Accent1 3 8 2" xfId="12952" xr:uid="{4236DB92-85AB-4A63-B463-EB97CA595850}"/>
    <cellStyle name="20% - Accent1 3 9" xfId="8734" xr:uid="{34A65934-0EEF-462F-9FA9-CC03CEBB1C7A}"/>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366E3E4B-9BCE-4B4C-AEE6-DDC7BEACDEF7}"/>
    <cellStyle name="20% - Accent1 4 2 2 3" xfId="11295" xr:uid="{0C10F960-44C5-4826-BB4C-3DFB240C6332}"/>
    <cellStyle name="20% - Accent1 4 2 3" xfId="4926" xr:uid="{00000000-0005-0000-0000-00007E000000}"/>
    <cellStyle name="20% - Accent1 4 2 3 2" xfId="13368" xr:uid="{56D25870-A16C-4AB1-8E2D-2C69658C3C21}"/>
    <cellStyle name="20% - Accent1 4 2 4" xfId="9150" xr:uid="{E0F28F26-84BE-4279-AD2B-30AE6BB5E6E2}"/>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2668463F-19B6-497E-9FD4-2037E8F9CDDD}"/>
    <cellStyle name="20% - Accent1 4 3 2 3" xfId="11708" xr:uid="{D36AC264-2F6B-478A-973B-2C56728DBA13}"/>
    <cellStyle name="20% - Accent1 4 3 3" xfId="5339" xr:uid="{00000000-0005-0000-0000-000082000000}"/>
    <cellStyle name="20% - Accent1 4 3 3 2" xfId="13781" xr:uid="{6D5042AA-1D95-4883-AC32-89E2D51F9623}"/>
    <cellStyle name="20% - Accent1 4 3 4" xfId="9563" xr:uid="{430D13EB-ABDC-4947-A457-B9C5F7772C19}"/>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A6CE67DE-088F-4FEF-9008-9A0FF860BCFB}"/>
    <cellStyle name="20% - Accent1 4 4 2 3" xfId="12121" xr:uid="{7DAEDBC2-B4B3-4633-83FF-C640EBBEAA28}"/>
    <cellStyle name="20% - Accent1 4 4 3" xfId="5752" xr:uid="{00000000-0005-0000-0000-000086000000}"/>
    <cellStyle name="20% - Accent1 4 4 3 2" xfId="14194" xr:uid="{FD9BAB9B-5F54-4161-B9C4-0E29078CC503}"/>
    <cellStyle name="20% - Accent1 4 4 4" xfId="9976" xr:uid="{6742CBB7-FD80-4985-9D92-F0E70AF7114D}"/>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5CC2304B-9AC5-4AD0-A1FE-C23A40AF61EC}"/>
    <cellStyle name="20% - Accent1 4 5 2 3" xfId="12534" xr:uid="{DE8259D1-B61E-4D50-BF3F-6161B7A76E61}"/>
    <cellStyle name="20% - Accent1 4 5 3" xfId="6165" xr:uid="{00000000-0005-0000-0000-00008A000000}"/>
    <cellStyle name="20% - Accent1 4 5 3 2" xfId="14607" xr:uid="{D625A61B-F80E-4586-96B2-5591979B31AE}"/>
    <cellStyle name="20% - Accent1 4 5 4" xfId="10389" xr:uid="{5F882289-F358-4DFF-9358-184A3BC74619}"/>
    <cellStyle name="20% - Accent1 4 6" xfId="2271" xr:uid="{00000000-0005-0000-0000-00008B000000}"/>
    <cellStyle name="20% - Accent1 4 6 2" xfId="6578" xr:uid="{00000000-0005-0000-0000-00008C000000}"/>
    <cellStyle name="20% - Accent1 4 6 2 2" xfId="15020" xr:uid="{6A53F213-3103-4C02-B567-B7ADAFF7FCB0}"/>
    <cellStyle name="20% - Accent1 4 6 3" xfId="10802" xr:uid="{F6EAA504-8C4C-42CA-B283-349467CD66CF}"/>
    <cellStyle name="20% - Accent1 4 7" xfId="4512" xr:uid="{00000000-0005-0000-0000-00008D000000}"/>
    <cellStyle name="20% - Accent1 4 7 2" xfId="12954" xr:uid="{C174CA64-45D4-4927-ACBC-CD4DF0440F0D}"/>
    <cellStyle name="20% - Accent1 4 8" xfId="8736" xr:uid="{64165FBE-F6DE-4809-963F-3514E16ADD8C}"/>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91568C48-C60D-4134-BC3A-992CA090324D}"/>
    <cellStyle name="20% - Accent1 5 2 3" xfId="11288" xr:uid="{63E89198-8D43-49DD-B2C8-454A11BE0CA2}"/>
    <cellStyle name="20% - Accent1 5 3" xfId="4919" xr:uid="{00000000-0005-0000-0000-000091000000}"/>
    <cellStyle name="20% - Accent1 5 3 2" xfId="13361" xr:uid="{0774C4E4-49B7-4079-AB27-2BABF1685F49}"/>
    <cellStyle name="20% - Accent1 5 4" xfId="9143" xr:uid="{044B7F15-0F7D-4D62-9893-FE99A03927A0}"/>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468C410C-6E98-4B45-AAAF-7BA19E09BACE}"/>
    <cellStyle name="20% - Accent1 6 2 3" xfId="11701" xr:uid="{F0EF7F34-9179-4640-9836-D31F27A5E14A}"/>
    <cellStyle name="20% - Accent1 6 3" xfId="5332" xr:uid="{00000000-0005-0000-0000-000095000000}"/>
    <cellStyle name="20% - Accent1 6 3 2" xfId="13774" xr:uid="{FE3442A9-BAC7-4E99-BC51-A1D4D9A047E8}"/>
    <cellStyle name="20% - Accent1 6 4" xfId="9556" xr:uid="{8AD60A3A-F611-4278-848C-283BA340CA2C}"/>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C711E4AD-3823-419D-B536-71B1F6F9E999}"/>
    <cellStyle name="20% - Accent1 7 2 3" xfId="12114" xr:uid="{D552A500-4FF6-4467-B501-F2B0B23960A4}"/>
    <cellStyle name="20% - Accent1 7 3" xfId="5745" xr:uid="{00000000-0005-0000-0000-000099000000}"/>
    <cellStyle name="20% - Accent1 7 3 2" xfId="14187" xr:uid="{4D1A7660-C112-494B-99A5-00AB59F792C9}"/>
    <cellStyle name="20% - Accent1 7 4" xfId="9969" xr:uid="{2EA1D90E-529D-4587-A2C1-0AC313C78993}"/>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64BB058D-9D7A-4BFE-AD9F-27759A9FE114}"/>
    <cellStyle name="20% - Accent1 8 2 3" xfId="12527" xr:uid="{33B9BA31-FFE1-47A0-8A92-1017AF088B94}"/>
    <cellStyle name="20% - Accent1 8 3" xfId="6158" xr:uid="{00000000-0005-0000-0000-00009D000000}"/>
    <cellStyle name="20% - Accent1 8 3 2" xfId="14600" xr:uid="{A1F8993D-95C7-4A19-A86C-5DA77F1CC13F}"/>
    <cellStyle name="20% - Accent1 8 4" xfId="10382" xr:uid="{A4EB0F20-B754-403F-86F7-977947DD95D6}"/>
    <cellStyle name="20% - Accent1 9" xfId="2264" xr:uid="{00000000-0005-0000-0000-00009E000000}"/>
    <cellStyle name="20% - Accent1 9 2" xfId="6571" xr:uid="{00000000-0005-0000-0000-00009F000000}"/>
    <cellStyle name="20% - Accent1 9 2 2" xfId="15013" xr:uid="{2F724352-7496-412A-9829-1C8F759226F4}"/>
    <cellStyle name="20% - Accent1 9 3" xfId="10795" xr:uid="{552CC066-6C6D-4CFF-9BC4-5E5E8171308F}"/>
    <cellStyle name="20% - Accent2" xfId="9" builtinId="34" customBuiltin="1"/>
    <cellStyle name="20% - Accent2 10" xfId="4513" xr:uid="{00000000-0005-0000-0000-0000A1000000}"/>
    <cellStyle name="20% - Accent2 10 2" xfId="12955" xr:uid="{59C14770-E41F-47CD-88B0-5FEDE2F9B1B4}"/>
    <cellStyle name="20% - Accent2 11" xfId="8737" xr:uid="{95E2779D-B1DC-47A6-82A2-97549DBE7BAB}"/>
    <cellStyle name="20% - Accent2 2" xfId="10" xr:uid="{00000000-0005-0000-0000-0000A2000000}"/>
    <cellStyle name="20% - Accent2 2 10" xfId="8738" xr:uid="{BAA0651B-E75D-4F26-B917-6B0A1A7B6083}"/>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6EB5123D-E56F-41CD-ACD7-F721DDA7996B}"/>
    <cellStyle name="20% - Accent2 2 2 2 2 2 3" xfId="11299" xr:uid="{AB13B7B8-01A8-4EFC-954C-A7950E334D78}"/>
    <cellStyle name="20% - Accent2 2 2 2 2 3" xfId="4930" xr:uid="{00000000-0005-0000-0000-0000A8000000}"/>
    <cellStyle name="20% - Accent2 2 2 2 2 3 2" xfId="13372" xr:uid="{8A31B7C0-8DE0-4A80-9E4A-DA91CC4C0D02}"/>
    <cellStyle name="20% - Accent2 2 2 2 2 4" xfId="9154" xr:uid="{5767593D-A37B-404B-B7A5-F8215F213422}"/>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D560667F-E920-4009-A557-6C201F4C6B8B}"/>
    <cellStyle name="20% - Accent2 2 2 2 3 2 3" xfId="11712" xr:uid="{F01E9EBA-0F8E-43BC-B217-DCE63CA308D5}"/>
    <cellStyle name="20% - Accent2 2 2 2 3 3" xfId="5343" xr:uid="{00000000-0005-0000-0000-0000AC000000}"/>
    <cellStyle name="20% - Accent2 2 2 2 3 3 2" xfId="13785" xr:uid="{5798FD55-F89F-4D35-A31E-D02A74085C87}"/>
    <cellStyle name="20% - Accent2 2 2 2 3 4" xfId="9567" xr:uid="{B76B7F70-FA7E-48A3-A4EB-C428B6B3AC79}"/>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D2379356-FFE4-43C2-9E7C-7A3950D8E125}"/>
    <cellStyle name="20% - Accent2 2 2 2 4 2 3" xfId="12125" xr:uid="{7C7A209A-74CF-47A8-A893-8AB5D743F544}"/>
    <cellStyle name="20% - Accent2 2 2 2 4 3" xfId="5756" xr:uid="{00000000-0005-0000-0000-0000B0000000}"/>
    <cellStyle name="20% - Accent2 2 2 2 4 3 2" xfId="14198" xr:uid="{922634DC-9229-4145-B953-AA5C709EBAFB}"/>
    <cellStyle name="20% - Accent2 2 2 2 4 4" xfId="9980" xr:uid="{572E4DC9-4979-4895-B555-8A6B1FEECFDB}"/>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B80CD960-7AB0-4DBC-A09B-95198B77B242}"/>
    <cellStyle name="20% - Accent2 2 2 2 5 2 3" xfId="12538" xr:uid="{3360D82F-8E7B-4186-9D97-929C504F0E6B}"/>
    <cellStyle name="20% - Accent2 2 2 2 5 3" xfId="6169" xr:uid="{00000000-0005-0000-0000-0000B4000000}"/>
    <cellStyle name="20% - Accent2 2 2 2 5 3 2" xfId="14611" xr:uid="{4A75B8D6-9A4B-4084-807C-42ED06B4470E}"/>
    <cellStyle name="20% - Accent2 2 2 2 5 4" xfId="10393" xr:uid="{35E5A91C-0E62-4E80-BE6B-47BFB4C05E6C}"/>
    <cellStyle name="20% - Accent2 2 2 2 6" xfId="2275" xr:uid="{00000000-0005-0000-0000-0000B5000000}"/>
    <cellStyle name="20% - Accent2 2 2 2 6 2" xfId="6582" xr:uid="{00000000-0005-0000-0000-0000B6000000}"/>
    <cellStyle name="20% - Accent2 2 2 2 6 2 2" xfId="15024" xr:uid="{14DC3076-7A40-4306-BDB1-BFC1241C9CA2}"/>
    <cellStyle name="20% - Accent2 2 2 2 6 3" xfId="10806" xr:uid="{BB72F969-2B12-4235-9A87-5725FC9D55AD}"/>
    <cellStyle name="20% - Accent2 2 2 2 7" xfId="4516" xr:uid="{00000000-0005-0000-0000-0000B7000000}"/>
    <cellStyle name="20% - Accent2 2 2 2 7 2" xfId="12958" xr:uid="{5D9A56CC-F4FB-4337-A5F4-695EE444A520}"/>
    <cellStyle name="20% - Accent2 2 2 2 8" xfId="8740" xr:uid="{D5374DC0-74FC-425E-BF8A-A57F92FA10DD}"/>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C508512B-DDC1-4F2A-8B98-93E1A4067FF8}"/>
    <cellStyle name="20% - Accent2 2 2 3 2 3" xfId="11298" xr:uid="{C415DE6C-78DD-4429-B71F-70EC8B613A56}"/>
    <cellStyle name="20% - Accent2 2 2 3 3" xfId="4929" xr:uid="{00000000-0005-0000-0000-0000BB000000}"/>
    <cellStyle name="20% - Accent2 2 2 3 3 2" xfId="13371" xr:uid="{E6241B43-2297-41A9-AAF6-A4E5D9369997}"/>
    <cellStyle name="20% - Accent2 2 2 3 4" xfId="9153" xr:uid="{83849235-674A-4143-9FB4-4216A1491C04}"/>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7B130855-F939-4149-B495-EA0E8210F5AE}"/>
    <cellStyle name="20% - Accent2 2 2 4 2 3" xfId="11711" xr:uid="{0E8102A7-BE59-4E95-8A2E-087172C9FC7E}"/>
    <cellStyle name="20% - Accent2 2 2 4 3" xfId="5342" xr:uid="{00000000-0005-0000-0000-0000BF000000}"/>
    <cellStyle name="20% - Accent2 2 2 4 3 2" xfId="13784" xr:uid="{CD2F6B81-09C9-43EF-91AE-E0215F8B3543}"/>
    <cellStyle name="20% - Accent2 2 2 4 4" xfId="9566" xr:uid="{A2506B86-343B-4BCC-AA69-8D0FD6F0B0D4}"/>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2AE33A9B-2D5B-4E6E-A9DF-54E3232D2D39}"/>
    <cellStyle name="20% - Accent2 2 2 5 2 3" xfId="12124" xr:uid="{9CD2C62D-86DD-4761-9B9E-56029B97C311}"/>
    <cellStyle name="20% - Accent2 2 2 5 3" xfId="5755" xr:uid="{00000000-0005-0000-0000-0000C3000000}"/>
    <cellStyle name="20% - Accent2 2 2 5 3 2" xfId="14197" xr:uid="{B885441E-90EE-4D4D-8405-693BBDAD9540}"/>
    <cellStyle name="20% - Accent2 2 2 5 4" xfId="9979" xr:uid="{E7750524-A4D3-42A0-BDDE-7694A7187BF6}"/>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8F9098E8-F354-4178-BEC7-2B7AFC341C92}"/>
    <cellStyle name="20% - Accent2 2 2 6 2 3" xfId="12537" xr:uid="{73419AC8-F136-4392-869C-E623AED0B1BC}"/>
    <cellStyle name="20% - Accent2 2 2 6 3" xfId="6168" xr:uid="{00000000-0005-0000-0000-0000C7000000}"/>
    <cellStyle name="20% - Accent2 2 2 6 3 2" xfId="14610" xr:uid="{627D6846-936F-4B03-844C-F4F4988C1B4D}"/>
    <cellStyle name="20% - Accent2 2 2 6 4" xfId="10392" xr:uid="{CB64C1B4-2041-44E8-8AE5-5274742027B7}"/>
    <cellStyle name="20% - Accent2 2 2 7" xfId="2274" xr:uid="{00000000-0005-0000-0000-0000C8000000}"/>
    <cellStyle name="20% - Accent2 2 2 7 2" xfId="6581" xr:uid="{00000000-0005-0000-0000-0000C9000000}"/>
    <cellStyle name="20% - Accent2 2 2 7 2 2" xfId="15023" xr:uid="{617F71D5-036A-4A61-A599-E05A4A84AEDC}"/>
    <cellStyle name="20% - Accent2 2 2 7 3" xfId="10805" xr:uid="{9569531B-96EA-40DB-866A-E36524C79A4B}"/>
    <cellStyle name="20% - Accent2 2 2 8" xfId="4515" xr:uid="{00000000-0005-0000-0000-0000CA000000}"/>
    <cellStyle name="20% - Accent2 2 2 8 2" xfId="12957" xr:uid="{498586FA-F6F6-4D6D-B427-0CEB37EF514F}"/>
    <cellStyle name="20% - Accent2 2 2 9" xfId="8739" xr:uid="{5B5FB69A-015E-4405-BB92-DCF90F4BD477}"/>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B45C0EDD-8F7B-4AF2-8EF6-2D6EF0D1F980}"/>
    <cellStyle name="20% - Accent2 2 3 2 2 3" xfId="11300" xr:uid="{95C03D82-5F2C-4E62-8336-45BE8E8B7AF7}"/>
    <cellStyle name="20% - Accent2 2 3 2 3" xfId="4931" xr:uid="{00000000-0005-0000-0000-0000CF000000}"/>
    <cellStyle name="20% - Accent2 2 3 2 3 2" xfId="13373" xr:uid="{30948D9C-76AC-4E64-9E31-798C229B51ED}"/>
    <cellStyle name="20% - Accent2 2 3 2 4" xfId="9155" xr:uid="{1E7AFADC-A8FC-4099-9343-F835C88C402A}"/>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B92895AE-DFFD-41AF-A0B1-52DE0F191F39}"/>
    <cellStyle name="20% - Accent2 2 3 3 2 3" xfId="11713" xr:uid="{7F8F10EC-4E8D-4C07-99D6-2394F313549A}"/>
    <cellStyle name="20% - Accent2 2 3 3 3" xfId="5344" xr:uid="{00000000-0005-0000-0000-0000D3000000}"/>
    <cellStyle name="20% - Accent2 2 3 3 3 2" xfId="13786" xr:uid="{293FF3D9-9E61-4856-A620-3A5B93B8513B}"/>
    <cellStyle name="20% - Accent2 2 3 3 4" xfId="9568" xr:uid="{90630878-CF53-46A2-8DFC-2095B003C34C}"/>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F6E4F3AF-0D0D-4675-9AAB-21D145471E78}"/>
    <cellStyle name="20% - Accent2 2 3 4 2 3" xfId="12126" xr:uid="{E6C6BAD9-C93F-4FE7-A7F0-EA5F43416F53}"/>
    <cellStyle name="20% - Accent2 2 3 4 3" xfId="5757" xr:uid="{00000000-0005-0000-0000-0000D7000000}"/>
    <cellStyle name="20% - Accent2 2 3 4 3 2" xfId="14199" xr:uid="{7604601D-8F02-4903-BAEA-3B15E829A58F}"/>
    <cellStyle name="20% - Accent2 2 3 4 4" xfId="9981" xr:uid="{AE1C55C1-AB84-4BB7-ABA3-F45EB09E4414}"/>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2A86F6DB-1C29-4563-A5F1-CCA6ADE88700}"/>
    <cellStyle name="20% - Accent2 2 3 5 2 3" xfId="12539" xr:uid="{B131AC5B-F763-4B23-B8AD-5CD3513DF0DB}"/>
    <cellStyle name="20% - Accent2 2 3 5 3" xfId="6170" xr:uid="{00000000-0005-0000-0000-0000DB000000}"/>
    <cellStyle name="20% - Accent2 2 3 5 3 2" xfId="14612" xr:uid="{627E4534-6821-4AEA-BD45-910E421D0A0A}"/>
    <cellStyle name="20% - Accent2 2 3 5 4" xfId="10394" xr:uid="{FEE9699F-E8D0-4486-9E68-85F0958CF7CC}"/>
    <cellStyle name="20% - Accent2 2 3 6" xfId="2276" xr:uid="{00000000-0005-0000-0000-0000DC000000}"/>
    <cellStyle name="20% - Accent2 2 3 6 2" xfId="6583" xr:uid="{00000000-0005-0000-0000-0000DD000000}"/>
    <cellStyle name="20% - Accent2 2 3 6 2 2" xfId="15025" xr:uid="{F60AFE41-B18C-416A-92D5-45572E9C25E8}"/>
    <cellStyle name="20% - Accent2 2 3 6 3" xfId="10807" xr:uid="{339C029C-0CF3-46B9-BB94-A84DD573AA75}"/>
    <cellStyle name="20% - Accent2 2 3 7" xfId="4517" xr:uid="{00000000-0005-0000-0000-0000DE000000}"/>
    <cellStyle name="20% - Accent2 2 3 7 2" xfId="12959" xr:uid="{240C7311-70B6-4394-B14B-73196EEF7FD3}"/>
    <cellStyle name="20% - Accent2 2 3 8" xfId="8741" xr:uid="{B7F76C1D-16AC-4B35-95F9-66EA7A66D39D}"/>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A72A5F9C-3D26-43DF-972D-6C46CB53B0B9}"/>
    <cellStyle name="20% - Accent2 2 4 2 3" xfId="11297" xr:uid="{045B6F84-6786-4C72-B501-58D567F3FA58}"/>
    <cellStyle name="20% - Accent2 2 4 3" xfId="4928" xr:uid="{00000000-0005-0000-0000-0000E2000000}"/>
    <cellStyle name="20% - Accent2 2 4 3 2" xfId="13370" xr:uid="{1844A700-228B-4DC8-BEFA-1C5BFBCC7EED}"/>
    <cellStyle name="20% - Accent2 2 4 4" xfId="9152" xr:uid="{1855C072-D711-405A-B224-5B0D9D980F25}"/>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13713067-84AA-4F87-81B9-841D463EB316}"/>
    <cellStyle name="20% - Accent2 2 5 2 3" xfId="11710" xr:uid="{318AE692-9529-4167-A855-241CD6B59F9A}"/>
    <cellStyle name="20% - Accent2 2 5 3" xfId="5341" xr:uid="{00000000-0005-0000-0000-0000E6000000}"/>
    <cellStyle name="20% - Accent2 2 5 3 2" xfId="13783" xr:uid="{4692FA52-DAB9-4016-A596-4CA32872CA65}"/>
    <cellStyle name="20% - Accent2 2 5 4" xfId="9565" xr:uid="{A1A3623E-6DB7-4EA0-915A-3B2B837101DE}"/>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37BE6340-17E3-4A45-888C-F97ACCFE6ACC}"/>
    <cellStyle name="20% - Accent2 2 6 2 3" xfId="12123" xr:uid="{880960E0-23BC-46EC-A1BB-ED020B6B509C}"/>
    <cellStyle name="20% - Accent2 2 6 3" xfId="5754" xr:uid="{00000000-0005-0000-0000-0000EA000000}"/>
    <cellStyle name="20% - Accent2 2 6 3 2" xfId="14196" xr:uid="{826EB5F0-21F5-49E7-A608-B28CB50BE4D8}"/>
    <cellStyle name="20% - Accent2 2 6 4" xfId="9978" xr:uid="{A70DAFCA-8808-481D-B51C-C6220BED14D7}"/>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AD24314F-FB44-4B03-B478-03D33E98C041}"/>
    <cellStyle name="20% - Accent2 2 7 2 3" xfId="12536" xr:uid="{B4B39AF4-0920-422A-9972-0F91F29687E2}"/>
    <cellStyle name="20% - Accent2 2 7 3" xfId="6167" xr:uid="{00000000-0005-0000-0000-0000EE000000}"/>
    <cellStyle name="20% - Accent2 2 7 3 2" xfId="14609" xr:uid="{49193341-75C2-43C9-BADD-5EA6B41EB00D}"/>
    <cellStyle name="20% - Accent2 2 7 4" xfId="10391" xr:uid="{6140F028-8597-45D8-BD5A-9A291B2EA8B2}"/>
    <cellStyle name="20% - Accent2 2 8" xfId="2273" xr:uid="{00000000-0005-0000-0000-0000EF000000}"/>
    <cellStyle name="20% - Accent2 2 8 2" xfId="6580" xr:uid="{00000000-0005-0000-0000-0000F0000000}"/>
    <cellStyle name="20% - Accent2 2 8 2 2" xfId="15022" xr:uid="{62A0A846-9C90-445C-9B1A-904EB607E15B}"/>
    <cellStyle name="20% - Accent2 2 8 3" xfId="10804" xr:uid="{9B4DEDF6-1EF9-4DC7-94C4-D0038D82AE79}"/>
    <cellStyle name="20% - Accent2 2 9" xfId="4514" xr:uid="{00000000-0005-0000-0000-0000F1000000}"/>
    <cellStyle name="20% - Accent2 2 9 2" xfId="12956" xr:uid="{A086ED88-E404-4819-A5C4-C6FBC766C136}"/>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270B99B3-183A-4EC2-A223-B3F279488B26}"/>
    <cellStyle name="20% - Accent2 3 2 2 2 3" xfId="11302" xr:uid="{E21CE726-3AB3-4946-9B13-434066C091D2}"/>
    <cellStyle name="20% - Accent2 3 2 2 3" xfId="4933" xr:uid="{00000000-0005-0000-0000-0000F7000000}"/>
    <cellStyle name="20% - Accent2 3 2 2 3 2" xfId="13375" xr:uid="{1E1CABB8-9027-4356-B8A1-2E3ECD9295D7}"/>
    <cellStyle name="20% - Accent2 3 2 2 4" xfId="9157" xr:uid="{63A794E3-B57B-4CAF-A30F-1FC8EFF3A5D4}"/>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49B6A487-3159-4521-8F4A-02128AAB0D41}"/>
    <cellStyle name="20% - Accent2 3 2 3 2 3" xfId="11715" xr:uid="{B16348AC-DCB7-4839-99DB-0AB34D2FD029}"/>
    <cellStyle name="20% - Accent2 3 2 3 3" xfId="5346" xr:uid="{00000000-0005-0000-0000-0000FB000000}"/>
    <cellStyle name="20% - Accent2 3 2 3 3 2" xfId="13788" xr:uid="{90A6ED67-B8E2-4129-9C09-DABE5A5A85DE}"/>
    <cellStyle name="20% - Accent2 3 2 3 4" xfId="9570" xr:uid="{9319CC8A-F126-40E3-BE5E-1E6E7B48A663}"/>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3EB0520B-A70D-428C-AAA2-938CC75DCD1F}"/>
    <cellStyle name="20% - Accent2 3 2 4 2 3" xfId="12128" xr:uid="{8B52DD26-AD99-46A4-B514-73E60348942B}"/>
    <cellStyle name="20% - Accent2 3 2 4 3" xfId="5759" xr:uid="{00000000-0005-0000-0000-0000FF000000}"/>
    <cellStyle name="20% - Accent2 3 2 4 3 2" xfId="14201" xr:uid="{B080D176-CAB5-44AD-A619-B062FAE79276}"/>
    <cellStyle name="20% - Accent2 3 2 4 4" xfId="9983" xr:uid="{BE349D9E-F999-4203-BB3A-83416D71E03D}"/>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EBCADAAD-3689-4B64-9B1A-4B21E69B3F3D}"/>
    <cellStyle name="20% - Accent2 3 2 5 2 3" xfId="12541" xr:uid="{FCD2D713-9762-4D36-A67C-D1CA7881091B}"/>
    <cellStyle name="20% - Accent2 3 2 5 3" xfId="6172" xr:uid="{00000000-0005-0000-0000-000003010000}"/>
    <cellStyle name="20% - Accent2 3 2 5 3 2" xfId="14614" xr:uid="{DD3156C8-940E-4FBD-AD83-41EEF8DBDC02}"/>
    <cellStyle name="20% - Accent2 3 2 5 4" xfId="10396" xr:uid="{6C524139-DB33-438D-A96B-93CA2EA0DCE9}"/>
    <cellStyle name="20% - Accent2 3 2 6" xfId="2278" xr:uid="{00000000-0005-0000-0000-000004010000}"/>
    <cellStyle name="20% - Accent2 3 2 6 2" xfId="6585" xr:uid="{00000000-0005-0000-0000-000005010000}"/>
    <cellStyle name="20% - Accent2 3 2 6 2 2" xfId="15027" xr:uid="{9B261FBC-6693-46AF-9E7C-F2A4AAA46088}"/>
    <cellStyle name="20% - Accent2 3 2 6 3" xfId="10809" xr:uid="{203291B4-5E65-46EB-829D-BF9C81E7CF12}"/>
    <cellStyle name="20% - Accent2 3 2 7" xfId="4519" xr:uid="{00000000-0005-0000-0000-000006010000}"/>
    <cellStyle name="20% - Accent2 3 2 7 2" xfId="12961" xr:uid="{134E5DEE-DD47-4B9C-B088-9BD696456271}"/>
    <cellStyle name="20% - Accent2 3 2 8" xfId="8743" xr:uid="{FF5C0CBE-0A5F-4873-B9FC-BEA309D228A0}"/>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16E718D9-809B-40D6-AADE-F64AA26580EE}"/>
    <cellStyle name="20% - Accent2 3 3 2 3" xfId="11301" xr:uid="{A6D3E298-ABC1-40BA-B962-B85DED152A5F}"/>
    <cellStyle name="20% - Accent2 3 3 3" xfId="4932" xr:uid="{00000000-0005-0000-0000-00000A010000}"/>
    <cellStyle name="20% - Accent2 3 3 3 2" xfId="13374" xr:uid="{09C07DBC-0671-48E8-B7C4-7DB2CE24582D}"/>
    <cellStyle name="20% - Accent2 3 3 4" xfId="9156" xr:uid="{66BE84D0-6458-4B06-A6C2-0131454DC526}"/>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1C814DE8-D5E5-4C7E-BF31-ECFB8BCE38C7}"/>
    <cellStyle name="20% - Accent2 3 4 2 3" xfId="11714" xr:uid="{115521E6-C0C2-47E8-823A-3FDB1227AA0E}"/>
    <cellStyle name="20% - Accent2 3 4 3" xfId="5345" xr:uid="{00000000-0005-0000-0000-00000E010000}"/>
    <cellStyle name="20% - Accent2 3 4 3 2" xfId="13787" xr:uid="{BAFF6FCC-AD48-44F5-ABDE-C9412960BAF6}"/>
    <cellStyle name="20% - Accent2 3 4 4" xfId="9569" xr:uid="{704D69EF-BE2A-4A4A-B501-81EB618E7E51}"/>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CB73DFBF-D5AD-44BB-9A92-93632711A6BF}"/>
    <cellStyle name="20% - Accent2 3 5 2 3" xfId="12127" xr:uid="{1EACF4F1-6CE9-4EB8-99CD-38D2C4A2C5C4}"/>
    <cellStyle name="20% - Accent2 3 5 3" xfId="5758" xr:uid="{00000000-0005-0000-0000-000012010000}"/>
    <cellStyle name="20% - Accent2 3 5 3 2" xfId="14200" xr:uid="{6D61122D-A137-4932-9B18-A7DF0473C657}"/>
    <cellStyle name="20% - Accent2 3 5 4" xfId="9982" xr:uid="{147B9000-8D99-4D73-8F22-AB084F8900EE}"/>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AD9D3D61-8C50-4440-807D-83CF40F6029F}"/>
    <cellStyle name="20% - Accent2 3 6 2 3" xfId="12540" xr:uid="{B16DC65E-9ECC-4320-AE1E-28DC72B6AE09}"/>
    <cellStyle name="20% - Accent2 3 6 3" xfId="6171" xr:uid="{00000000-0005-0000-0000-000016010000}"/>
    <cellStyle name="20% - Accent2 3 6 3 2" xfId="14613" xr:uid="{FC279840-AB02-49D6-9820-0C52358D5901}"/>
    <cellStyle name="20% - Accent2 3 6 4" xfId="10395" xr:uid="{0A4F7A2F-CAB8-4358-BFDA-CB15A586E83E}"/>
    <cellStyle name="20% - Accent2 3 7" xfId="2277" xr:uid="{00000000-0005-0000-0000-000017010000}"/>
    <cellStyle name="20% - Accent2 3 7 2" xfId="6584" xr:uid="{00000000-0005-0000-0000-000018010000}"/>
    <cellStyle name="20% - Accent2 3 7 2 2" xfId="15026" xr:uid="{DAB315A1-3F9B-4AC3-986C-75F06EA22AEE}"/>
    <cellStyle name="20% - Accent2 3 7 3" xfId="10808" xr:uid="{9DBF4804-ACCD-4232-BC13-5CDCA136530D}"/>
    <cellStyle name="20% - Accent2 3 8" xfId="4518" xr:uid="{00000000-0005-0000-0000-000019010000}"/>
    <cellStyle name="20% - Accent2 3 8 2" xfId="12960" xr:uid="{5E94E7D3-60D5-4F14-AE73-1E208BCC8347}"/>
    <cellStyle name="20% - Accent2 3 9" xfId="8742" xr:uid="{03AEB4D7-BAAB-42ED-A6D7-81C0D660CC49}"/>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BDEDF713-D662-4F65-9FA0-9D21B2334114}"/>
    <cellStyle name="20% - Accent2 4 2 2 3" xfId="11303" xr:uid="{2F0EE8E4-3AA1-45F5-8E1F-B7A13F029EFD}"/>
    <cellStyle name="20% - Accent2 4 2 3" xfId="4934" xr:uid="{00000000-0005-0000-0000-00001E010000}"/>
    <cellStyle name="20% - Accent2 4 2 3 2" xfId="13376" xr:uid="{14E64BAE-18AB-4399-9311-AC8124E5994F}"/>
    <cellStyle name="20% - Accent2 4 2 4" xfId="9158" xr:uid="{33993B65-ACEF-40A6-885A-8A6A955A98D6}"/>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56011F54-BFF7-4568-9F86-2A7E50D12554}"/>
    <cellStyle name="20% - Accent2 4 3 2 3" xfId="11716" xr:uid="{15CD6A7E-E284-4648-8929-3E1AE1B65316}"/>
    <cellStyle name="20% - Accent2 4 3 3" xfId="5347" xr:uid="{00000000-0005-0000-0000-000022010000}"/>
    <cellStyle name="20% - Accent2 4 3 3 2" xfId="13789" xr:uid="{28BE3994-753D-4997-A841-29767247025F}"/>
    <cellStyle name="20% - Accent2 4 3 4" xfId="9571" xr:uid="{C972519E-1974-42D2-A268-BFF345935751}"/>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69DAB262-9928-4ED3-841A-573F5EA6B27E}"/>
    <cellStyle name="20% - Accent2 4 4 2 3" xfId="12129" xr:uid="{29338B65-0EC5-45C5-91CC-270D927CB420}"/>
    <cellStyle name="20% - Accent2 4 4 3" xfId="5760" xr:uid="{00000000-0005-0000-0000-000026010000}"/>
    <cellStyle name="20% - Accent2 4 4 3 2" xfId="14202" xr:uid="{13C90BE1-8FE2-40A7-93D4-CC119FF2A8F3}"/>
    <cellStyle name="20% - Accent2 4 4 4" xfId="9984" xr:uid="{C8B424C5-B070-4E84-967B-A3FF35F97FC6}"/>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4B3633A4-C454-40DF-92F2-775D9A778833}"/>
    <cellStyle name="20% - Accent2 4 5 2 3" xfId="12542" xr:uid="{07F8B379-4627-418E-A746-3EA29FA21F49}"/>
    <cellStyle name="20% - Accent2 4 5 3" xfId="6173" xr:uid="{00000000-0005-0000-0000-00002A010000}"/>
    <cellStyle name="20% - Accent2 4 5 3 2" xfId="14615" xr:uid="{6FF5D00B-BEEB-4C69-AA99-CBE8BD28BB00}"/>
    <cellStyle name="20% - Accent2 4 5 4" xfId="10397" xr:uid="{767E5157-9E29-45A7-B787-4D18E1268A44}"/>
    <cellStyle name="20% - Accent2 4 6" xfId="2279" xr:uid="{00000000-0005-0000-0000-00002B010000}"/>
    <cellStyle name="20% - Accent2 4 6 2" xfId="6586" xr:uid="{00000000-0005-0000-0000-00002C010000}"/>
    <cellStyle name="20% - Accent2 4 6 2 2" xfId="15028" xr:uid="{C1A3F3C9-89E4-4084-87A0-5E0CF1089637}"/>
    <cellStyle name="20% - Accent2 4 6 3" xfId="10810" xr:uid="{F39F0E01-45EF-40EE-85C5-D6B1FC49C58C}"/>
    <cellStyle name="20% - Accent2 4 7" xfId="4520" xr:uid="{00000000-0005-0000-0000-00002D010000}"/>
    <cellStyle name="20% - Accent2 4 7 2" xfId="12962" xr:uid="{349930CF-2129-4C89-8301-FCCC1982AB83}"/>
    <cellStyle name="20% - Accent2 4 8" xfId="8744" xr:uid="{9ABDC5F9-96B3-4834-933F-0095D97B932E}"/>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BA409BF0-A067-4E0C-B51E-BE553E5E17AB}"/>
    <cellStyle name="20% - Accent2 5 2 3" xfId="11296" xr:uid="{2D970655-DD2B-4BBD-B3B5-FFF97A0CEE48}"/>
    <cellStyle name="20% - Accent2 5 3" xfId="4927" xr:uid="{00000000-0005-0000-0000-000031010000}"/>
    <cellStyle name="20% - Accent2 5 3 2" xfId="13369" xr:uid="{163B4EF2-D506-480B-8943-AA72D47B4B77}"/>
    <cellStyle name="20% - Accent2 5 4" xfId="9151" xr:uid="{49FC9D94-6ACC-4157-A26E-A9B767E97BE4}"/>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242D18CD-B3D6-483C-AF7E-15C06EAD988F}"/>
    <cellStyle name="20% - Accent2 6 2 3" xfId="11709" xr:uid="{C2FCE872-426E-4962-8695-46B94501643B}"/>
    <cellStyle name="20% - Accent2 6 3" xfId="5340" xr:uid="{00000000-0005-0000-0000-000035010000}"/>
    <cellStyle name="20% - Accent2 6 3 2" xfId="13782" xr:uid="{2FB5828E-4C4A-4FE2-BEEC-AE3DA9BF12F6}"/>
    <cellStyle name="20% - Accent2 6 4" xfId="9564" xr:uid="{741F775F-54F6-4BBC-96D5-B1C71D3038AD}"/>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B9DF838E-F94F-4177-8082-E855982C4851}"/>
    <cellStyle name="20% - Accent2 7 2 3" xfId="12122" xr:uid="{96D910FB-09A1-4C7D-B837-D319E3211B69}"/>
    <cellStyle name="20% - Accent2 7 3" xfId="5753" xr:uid="{00000000-0005-0000-0000-000039010000}"/>
    <cellStyle name="20% - Accent2 7 3 2" xfId="14195" xr:uid="{FCFFD08C-D4D0-4C77-B49A-555AC13F4786}"/>
    <cellStyle name="20% - Accent2 7 4" xfId="9977" xr:uid="{75164D55-D06D-40F1-BC8E-FC8B83A8B307}"/>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A3C1EAB1-C431-4213-9630-5DD59A5DCD6C}"/>
    <cellStyle name="20% - Accent2 8 2 3" xfId="12535" xr:uid="{95F1A5ED-B9C0-4ABE-852B-954F2EEC65FA}"/>
    <cellStyle name="20% - Accent2 8 3" xfId="6166" xr:uid="{00000000-0005-0000-0000-00003D010000}"/>
    <cellStyle name="20% - Accent2 8 3 2" xfId="14608" xr:uid="{4661773F-FA25-44FB-8D6C-46EC86B1AE4E}"/>
    <cellStyle name="20% - Accent2 8 4" xfId="10390" xr:uid="{46A186C6-140B-4DE5-8D20-E55E6FDE778E}"/>
    <cellStyle name="20% - Accent2 9" xfId="2272" xr:uid="{00000000-0005-0000-0000-00003E010000}"/>
    <cellStyle name="20% - Accent2 9 2" xfId="6579" xr:uid="{00000000-0005-0000-0000-00003F010000}"/>
    <cellStyle name="20% - Accent2 9 2 2" xfId="15021" xr:uid="{F1D465DF-FDDE-4FA7-9A0C-23E156D286E9}"/>
    <cellStyle name="20% - Accent2 9 3" xfId="10803" xr:uid="{058F28B3-ED17-41AA-99F8-463902563703}"/>
    <cellStyle name="20% - Accent3" xfId="17" builtinId="38" customBuiltin="1"/>
    <cellStyle name="20% - Accent3 10" xfId="4521" xr:uid="{00000000-0005-0000-0000-000041010000}"/>
    <cellStyle name="20% - Accent3 10 2" xfId="12963" xr:uid="{824339D8-95DB-483C-8E64-376251EE2254}"/>
    <cellStyle name="20% - Accent3 11" xfId="8745" xr:uid="{FFF42498-9EFC-49BF-80E3-7900D637A307}"/>
    <cellStyle name="20% - Accent3 2" xfId="18" xr:uid="{00000000-0005-0000-0000-000042010000}"/>
    <cellStyle name="20% - Accent3 2 10" xfId="8746" xr:uid="{0D51302B-7A7E-4F04-9EB3-BA4E0D381243}"/>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4D059024-C951-4F7D-9312-EBE7FC7723B8}"/>
    <cellStyle name="20% - Accent3 2 2 2 2 2 3" xfId="11307" xr:uid="{5889AF10-35B0-4D72-BB62-E1177DD9F5CC}"/>
    <cellStyle name="20% - Accent3 2 2 2 2 3" xfId="4938" xr:uid="{00000000-0005-0000-0000-000048010000}"/>
    <cellStyle name="20% - Accent3 2 2 2 2 3 2" xfId="13380" xr:uid="{22F70AA6-D1B1-44E9-9085-CFB209BA2B72}"/>
    <cellStyle name="20% - Accent3 2 2 2 2 4" xfId="9162" xr:uid="{CB1B2BC5-C670-4382-8F0F-59C7A20C478B}"/>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7D860205-22B5-469C-BB8C-E2954DD9914D}"/>
    <cellStyle name="20% - Accent3 2 2 2 3 2 3" xfId="11720" xr:uid="{948BA9F1-DD45-43FC-A5F0-9CE2C4F45933}"/>
    <cellStyle name="20% - Accent3 2 2 2 3 3" xfId="5351" xr:uid="{00000000-0005-0000-0000-00004C010000}"/>
    <cellStyle name="20% - Accent3 2 2 2 3 3 2" xfId="13793" xr:uid="{A5FE760D-82FF-4DF4-B47E-2B8DD4276D94}"/>
    <cellStyle name="20% - Accent3 2 2 2 3 4" xfId="9575" xr:uid="{82129BA4-B067-4684-A837-B5216DC46C98}"/>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ED7739A3-433A-4F86-A6ED-A88E21619EC9}"/>
    <cellStyle name="20% - Accent3 2 2 2 4 2 3" xfId="12133" xr:uid="{3171FAF2-5E57-4C01-A83A-E901EB6A4CAC}"/>
    <cellStyle name="20% - Accent3 2 2 2 4 3" xfId="5764" xr:uid="{00000000-0005-0000-0000-000050010000}"/>
    <cellStyle name="20% - Accent3 2 2 2 4 3 2" xfId="14206" xr:uid="{DC9902A4-3FC8-453A-87D4-0DC742AB68F5}"/>
    <cellStyle name="20% - Accent3 2 2 2 4 4" xfId="9988" xr:uid="{07974B95-8985-413A-9296-2FA2D85FB04F}"/>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6CC6A3B9-A1DF-407F-AB1B-A0AA3D898053}"/>
    <cellStyle name="20% - Accent3 2 2 2 5 2 3" xfId="12546" xr:uid="{864EB1F2-54FF-4F7B-AA1F-9ACF302FC295}"/>
    <cellStyle name="20% - Accent3 2 2 2 5 3" xfId="6177" xr:uid="{00000000-0005-0000-0000-000054010000}"/>
    <cellStyle name="20% - Accent3 2 2 2 5 3 2" xfId="14619" xr:uid="{92DB3FEC-BA35-424D-A008-80E9A63425A2}"/>
    <cellStyle name="20% - Accent3 2 2 2 5 4" xfId="10401" xr:uid="{64C43980-627C-4D32-BCAC-AFBD9CE432E1}"/>
    <cellStyle name="20% - Accent3 2 2 2 6" xfId="2283" xr:uid="{00000000-0005-0000-0000-000055010000}"/>
    <cellStyle name="20% - Accent3 2 2 2 6 2" xfId="6590" xr:uid="{00000000-0005-0000-0000-000056010000}"/>
    <cellStyle name="20% - Accent3 2 2 2 6 2 2" xfId="15032" xr:uid="{02DBF75D-E982-4259-A2CE-65FAFD2B497C}"/>
    <cellStyle name="20% - Accent3 2 2 2 6 3" xfId="10814" xr:uid="{6743C99E-111C-4CF8-B04C-363BC07D3DEB}"/>
    <cellStyle name="20% - Accent3 2 2 2 7" xfId="4524" xr:uid="{00000000-0005-0000-0000-000057010000}"/>
    <cellStyle name="20% - Accent3 2 2 2 7 2" xfId="12966" xr:uid="{AB5B9068-A758-4975-B9E9-B452EFC61E06}"/>
    <cellStyle name="20% - Accent3 2 2 2 8" xfId="8748" xr:uid="{3DC0E05C-DE7A-45C4-B001-124F9B886ED0}"/>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A35D08C7-58DA-40B2-98F9-B02C1378421F}"/>
    <cellStyle name="20% - Accent3 2 2 3 2 3" xfId="11306" xr:uid="{2015F1A6-77B1-4635-B2C8-331701894EEA}"/>
    <cellStyle name="20% - Accent3 2 2 3 3" xfId="4937" xr:uid="{00000000-0005-0000-0000-00005B010000}"/>
    <cellStyle name="20% - Accent3 2 2 3 3 2" xfId="13379" xr:uid="{B6DED7B0-1D57-4086-9F78-95251FA38896}"/>
    <cellStyle name="20% - Accent3 2 2 3 4" xfId="9161" xr:uid="{73D65DBF-2ABB-4795-AEE5-3F7A8931493D}"/>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CAA9E7A2-672C-4573-A301-AE77D5374661}"/>
    <cellStyle name="20% - Accent3 2 2 4 2 3" xfId="11719" xr:uid="{E6371954-7B0D-4F63-9CD0-85F813F5B9F1}"/>
    <cellStyle name="20% - Accent3 2 2 4 3" xfId="5350" xr:uid="{00000000-0005-0000-0000-00005F010000}"/>
    <cellStyle name="20% - Accent3 2 2 4 3 2" xfId="13792" xr:uid="{522D44CA-0F92-44D9-B143-342DFCFA9173}"/>
    <cellStyle name="20% - Accent3 2 2 4 4" xfId="9574" xr:uid="{AA24BE90-E026-4AAC-B1B1-2C1B5C7B07CA}"/>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10E58A6F-01BE-4314-A7A4-DA7716BDF770}"/>
    <cellStyle name="20% - Accent3 2 2 5 2 3" xfId="12132" xr:uid="{842EBE5A-5F4D-4A41-BC10-0B93BF9A6E0B}"/>
    <cellStyle name="20% - Accent3 2 2 5 3" xfId="5763" xr:uid="{00000000-0005-0000-0000-000063010000}"/>
    <cellStyle name="20% - Accent3 2 2 5 3 2" xfId="14205" xr:uid="{87FD0468-C250-4F26-9709-0B4827946595}"/>
    <cellStyle name="20% - Accent3 2 2 5 4" xfId="9987" xr:uid="{5B5B23E9-8581-49BD-8D41-C291263A713C}"/>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CD08946B-6A50-4EC4-8F8F-A9214EC9AD40}"/>
    <cellStyle name="20% - Accent3 2 2 6 2 3" xfId="12545" xr:uid="{05981F6E-5A75-432D-A74A-F9B359C92F00}"/>
    <cellStyle name="20% - Accent3 2 2 6 3" xfId="6176" xr:uid="{00000000-0005-0000-0000-000067010000}"/>
    <cellStyle name="20% - Accent3 2 2 6 3 2" xfId="14618" xr:uid="{2E250607-4E8A-451A-BF64-5870387C8A72}"/>
    <cellStyle name="20% - Accent3 2 2 6 4" xfId="10400" xr:uid="{FBFB3E25-4239-4808-B025-44D3B5EBF1E4}"/>
    <cellStyle name="20% - Accent3 2 2 7" xfId="2282" xr:uid="{00000000-0005-0000-0000-000068010000}"/>
    <cellStyle name="20% - Accent3 2 2 7 2" xfId="6589" xr:uid="{00000000-0005-0000-0000-000069010000}"/>
    <cellStyle name="20% - Accent3 2 2 7 2 2" xfId="15031" xr:uid="{7BF88FFA-FE79-4AE0-8F23-A6F7A787DFB8}"/>
    <cellStyle name="20% - Accent3 2 2 7 3" xfId="10813" xr:uid="{9FA7DBCB-C617-43BE-9CCD-C3B48B3850FE}"/>
    <cellStyle name="20% - Accent3 2 2 8" xfId="4523" xr:uid="{00000000-0005-0000-0000-00006A010000}"/>
    <cellStyle name="20% - Accent3 2 2 8 2" xfId="12965" xr:uid="{5EB5132D-1EC6-4490-91EC-77AA497DD946}"/>
    <cellStyle name="20% - Accent3 2 2 9" xfId="8747" xr:uid="{FA121F17-B684-4676-9541-EABBD8464502}"/>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41E4675A-F013-4DA8-A284-D51139FCACFE}"/>
    <cellStyle name="20% - Accent3 2 3 2 2 3" xfId="11308" xr:uid="{B02EC039-3C65-4C76-9CB9-4BFC78C30CB7}"/>
    <cellStyle name="20% - Accent3 2 3 2 3" xfId="4939" xr:uid="{00000000-0005-0000-0000-00006F010000}"/>
    <cellStyle name="20% - Accent3 2 3 2 3 2" xfId="13381" xr:uid="{84433E52-D200-49AB-B798-6A0E214C8254}"/>
    <cellStyle name="20% - Accent3 2 3 2 4" xfId="9163" xr:uid="{9B492CAE-0F77-42B7-99F7-2E2CE5131814}"/>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53BB3266-65CE-4C0A-BA29-56D4857E591B}"/>
    <cellStyle name="20% - Accent3 2 3 3 2 3" xfId="11721" xr:uid="{3D6F3E24-942F-4983-868E-F7C925E13689}"/>
    <cellStyle name="20% - Accent3 2 3 3 3" xfId="5352" xr:uid="{00000000-0005-0000-0000-000073010000}"/>
    <cellStyle name="20% - Accent3 2 3 3 3 2" xfId="13794" xr:uid="{BCFF06B4-C04A-4202-9EB9-9075127DB860}"/>
    <cellStyle name="20% - Accent3 2 3 3 4" xfId="9576" xr:uid="{C7466AFA-4F28-46C3-B5D6-543286DA3EF6}"/>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F20B8A87-6A4B-4292-99F8-BAE966EC4AD3}"/>
    <cellStyle name="20% - Accent3 2 3 4 2 3" xfId="12134" xr:uid="{11E36353-089C-415E-8DB8-617D69FE5176}"/>
    <cellStyle name="20% - Accent3 2 3 4 3" xfId="5765" xr:uid="{00000000-0005-0000-0000-000077010000}"/>
    <cellStyle name="20% - Accent3 2 3 4 3 2" xfId="14207" xr:uid="{0DF8B81A-A54A-41D4-9E8D-4DBEBD3DDCE7}"/>
    <cellStyle name="20% - Accent3 2 3 4 4" xfId="9989" xr:uid="{8550D8BC-C6B5-41BA-A788-40C4D745C096}"/>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3378A729-1A99-4EE3-9CDD-9A65EC3BFAB8}"/>
    <cellStyle name="20% - Accent3 2 3 5 2 3" xfId="12547" xr:uid="{9FF3C497-FAA1-44EB-A0C3-235CB01FEFD1}"/>
    <cellStyle name="20% - Accent3 2 3 5 3" xfId="6178" xr:uid="{00000000-0005-0000-0000-00007B010000}"/>
    <cellStyle name="20% - Accent3 2 3 5 3 2" xfId="14620" xr:uid="{CFBCC936-0328-418D-8254-4CA16C22155E}"/>
    <cellStyle name="20% - Accent3 2 3 5 4" xfId="10402" xr:uid="{D45844E9-F71F-448A-A90F-123280F71AA8}"/>
    <cellStyle name="20% - Accent3 2 3 6" xfId="2284" xr:uid="{00000000-0005-0000-0000-00007C010000}"/>
    <cellStyle name="20% - Accent3 2 3 6 2" xfId="6591" xr:uid="{00000000-0005-0000-0000-00007D010000}"/>
    <cellStyle name="20% - Accent3 2 3 6 2 2" xfId="15033" xr:uid="{2918D4F5-BA10-4438-BCBE-58B04CFFC949}"/>
    <cellStyle name="20% - Accent3 2 3 6 3" xfId="10815" xr:uid="{063A58E4-0213-43B8-903B-F954B5A825D3}"/>
    <cellStyle name="20% - Accent3 2 3 7" xfId="4525" xr:uid="{00000000-0005-0000-0000-00007E010000}"/>
    <cellStyle name="20% - Accent3 2 3 7 2" xfId="12967" xr:uid="{C18563B8-8B65-44F5-943F-1A9C9B4A48D8}"/>
    <cellStyle name="20% - Accent3 2 3 8" xfId="8749" xr:uid="{CDBFAA3D-71EE-4674-91B0-94FC9ABAAF78}"/>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16B1F81F-82FE-4042-A0C7-095BB555C259}"/>
    <cellStyle name="20% - Accent3 2 4 2 3" xfId="11305" xr:uid="{387DFE03-F891-4436-ADA9-99476AD17748}"/>
    <cellStyle name="20% - Accent3 2 4 3" xfId="4936" xr:uid="{00000000-0005-0000-0000-000082010000}"/>
    <cellStyle name="20% - Accent3 2 4 3 2" xfId="13378" xr:uid="{376950A6-BBB9-4E7A-8711-2E749967A62F}"/>
    <cellStyle name="20% - Accent3 2 4 4" xfId="9160" xr:uid="{D64AFA23-A1B1-4C0E-A7CA-9990141A3E68}"/>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5275E805-5263-4188-B319-8853BFB37F8C}"/>
    <cellStyle name="20% - Accent3 2 5 2 3" xfId="11718" xr:uid="{E64AB20E-F2E1-4419-A080-FBE868C353E0}"/>
    <cellStyle name="20% - Accent3 2 5 3" xfId="5349" xr:uid="{00000000-0005-0000-0000-000086010000}"/>
    <cellStyle name="20% - Accent3 2 5 3 2" xfId="13791" xr:uid="{15CE5D5E-FF06-473A-B375-D05DC15771AE}"/>
    <cellStyle name="20% - Accent3 2 5 4" xfId="9573" xr:uid="{47EDE4A8-3207-4664-B728-0873DC5A0E2C}"/>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4934E279-FC4D-4D9B-9872-1235A649E617}"/>
    <cellStyle name="20% - Accent3 2 6 2 3" xfId="12131" xr:uid="{6781B9D3-8D1D-497B-B10A-C77B368E02D8}"/>
    <cellStyle name="20% - Accent3 2 6 3" xfId="5762" xr:uid="{00000000-0005-0000-0000-00008A010000}"/>
    <cellStyle name="20% - Accent3 2 6 3 2" xfId="14204" xr:uid="{30BE0800-9839-44D5-8E07-DC7C16C897CF}"/>
    <cellStyle name="20% - Accent3 2 6 4" xfId="9986" xr:uid="{7296652C-1596-4524-8CA5-A23B06F9BFCD}"/>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EB2B4554-63F4-439D-9FEA-8CDD56E5E9F0}"/>
    <cellStyle name="20% - Accent3 2 7 2 3" xfId="12544" xr:uid="{0D1CEA8B-A6ED-4C95-B67A-EDD03B7216CC}"/>
    <cellStyle name="20% - Accent3 2 7 3" xfId="6175" xr:uid="{00000000-0005-0000-0000-00008E010000}"/>
    <cellStyle name="20% - Accent3 2 7 3 2" xfId="14617" xr:uid="{B7168926-80E7-4C35-B467-9994F0D86847}"/>
    <cellStyle name="20% - Accent3 2 7 4" xfId="10399" xr:uid="{6DCC9E64-C980-4472-9A1E-F2AC3B4982CF}"/>
    <cellStyle name="20% - Accent3 2 8" xfId="2281" xr:uid="{00000000-0005-0000-0000-00008F010000}"/>
    <cellStyle name="20% - Accent3 2 8 2" xfId="6588" xr:uid="{00000000-0005-0000-0000-000090010000}"/>
    <cellStyle name="20% - Accent3 2 8 2 2" xfId="15030" xr:uid="{781694FF-DDB0-4582-95B0-A5ED19A97D28}"/>
    <cellStyle name="20% - Accent3 2 8 3" xfId="10812" xr:uid="{3144402F-78F4-4192-A587-CAE524579F3F}"/>
    <cellStyle name="20% - Accent3 2 9" xfId="4522" xr:uid="{00000000-0005-0000-0000-000091010000}"/>
    <cellStyle name="20% - Accent3 2 9 2" xfId="12964" xr:uid="{839B6CB1-D9A3-42D2-B11B-3B7794D27CBB}"/>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A6C3972C-4954-4DAB-836D-C1E833236E6A}"/>
    <cellStyle name="20% - Accent3 3 2 2 2 3" xfId="11310" xr:uid="{C600BAE2-3A65-45D3-ACC0-25D7E81E8B44}"/>
    <cellStyle name="20% - Accent3 3 2 2 3" xfId="4941" xr:uid="{00000000-0005-0000-0000-000097010000}"/>
    <cellStyle name="20% - Accent3 3 2 2 3 2" xfId="13383" xr:uid="{E08EF39B-00B7-4401-A920-821E417B29D9}"/>
    <cellStyle name="20% - Accent3 3 2 2 4" xfId="9165" xr:uid="{1E936889-BE09-4748-825D-6792F513D93F}"/>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C1E222BC-BD74-4C4F-9D02-87A0B343F0A2}"/>
    <cellStyle name="20% - Accent3 3 2 3 2 3" xfId="11723" xr:uid="{E8D5B942-D50A-48FE-A38A-6314E600387F}"/>
    <cellStyle name="20% - Accent3 3 2 3 3" xfId="5354" xr:uid="{00000000-0005-0000-0000-00009B010000}"/>
    <cellStyle name="20% - Accent3 3 2 3 3 2" xfId="13796" xr:uid="{A482A89D-8349-409B-90E4-12E9901B8863}"/>
    <cellStyle name="20% - Accent3 3 2 3 4" xfId="9578" xr:uid="{B1847F2F-CA1E-487E-BB83-46D2EBF6518A}"/>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6B03EB27-049E-446C-ABA1-E6E2EC669657}"/>
    <cellStyle name="20% - Accent3 3 2 4 2 3" xfId="12136" xr:uid="{42FB92EB-F0DC-4707-A122-B299DC0CD078}"/>
    <cellStyle name="20% - Accent3 3 2 4 3" xfId="5767" xr:uid="{00000000-0005-0000-0000-00009F010000}"/>
    <cellStyle name="20% - Accent3 3 2 4 3 2" xfId="14209" xr:uid="{0546E3DF-77AB-4211-8E55-7DF2630DCDEC}"/>
    <cellStyle name="20% - Accent3 3 2 4 4" xfId="9991" xr:uid="{7C8894F5-3B48-47DD-9289-042075CF8FA2}"/>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C39C8A0F-0963-434C-8CEB-FF928DCC778A}"/>
    <cellStyle name="20% - Accent3 3 2 5 2 3" xfId="12549" xr:uid="{25BB3460-07A1-4213-A745-BFAD3FE89F1F}"/>
    <cellStyle name="20% - Accent3 3 2 5 3" xfId="6180" xr:uid="{00000000-0005-0000-0000-0000A3010000}"/>
    <cellStyle name="20% - Accent3 3 2 5 3 2" xfId="14622" xr:uid="{9106F37A-9F6D-4B12-9BC8-7475724F2C96}"/>
    <cellStyle name="20% - Accent3 3 2 5 4" xfId="10404" xr:uid="{E0BA9090-79CC-481C-B05C-B7B9C3AE64F7}"/>
    <cellStyle name="20% - Accent3 3 2 6" xfId="2286" xr:uid="{00000000-0005-0000-0000-0000A4010000}"/>
    <cellStyle name="20% - Accent3 3 2 6 2" xfId="6593" xr:uid="{00000000-0005-0000-0000-0000A5010000}"/>
    <cellStyle name="20% - Accent3 3 2 6 2 2" xfId="15035" xr:uid="{45815BE8-BF63-4581-AF8C-BEDF06067B40}"/>
    <cellStyle name="20% - Accent3 3 2 6 3" xfId="10817" xr:uid="{1DC810FB-4A51-428C-BC44-90C63B70A4EA}"/>
    <cellStyle name="20% - Accent3 3 2 7" xfId="4527" xr:uid="{00000000-0005-0000-0000-0000A6010000}"/>
    <cellStyle name="20% - Accent3 3 2 7 2" xfId="12969" xr:uid="{CB9CF2FA-8B71-4F24-8865-652D9F6BBDAB}"/>
    <cellStyle name="20% - Accent3 3 2 8" xfId="8751" xr:uid="{5AC2DF3B-FBCB-4669-89E2-7F942D28BE98}"/>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0A6AB56D-C479-460B-9B67-F3BE16BAA169}"/>
    <cellStyle name="20% - Accent3 3 3 2 3" xfId="11309" xr:uid="{8A14D808-EC11-4D57-9EDC-34CB673A8DC3}"/>
    <cellStyle name="20% - Accent3 3 3 3" xfId="4940" xr:uid="{00000000-0005-0000-0000-0000AA010000}"/>
    <cellStyle name="20% - Accent3 3 3 3 2" xfId="13382" xr:uid="{4F14E519-5F55-4EBA-A697-86E78D91E0F9}"/>
    <cellStyle name="20% - Accent3 3 3 4" xfId="9164" xr:uid="{392D0B9C-2C79-4E8D-B9B5-01CA017BDA38}"/>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FE11ACC4-8127-42AD-A2B9-8A9DF48505D7}"/>
    <cellStyle name="20% - Accent3 3 4 2 3" xfId="11722" xr:uid="{E6C58AA7-D66B-4042-965C-E1E12970EFCE}"/>
    <cellStyle name="20% - Accent3 3 4 3" xfId="5353" xr:uid="{00000000-0005-0000-0000-0000AE010000}"/>
    <cellStyle name="20% - Accent3 3 4 3 2" xfId="13795" xr:uid="{E0103615-9E85-40F3-9D98-6CCC683CF950}"/>
    <cellStyle name="20% - Accent3 3 4 4" xfId="9577" xr:uid="{56938997-E1C2-4CAF-B3DC-83476937D597}"/>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F668281C-C1A5-4B6E-A237-4AB1DD68EA56}"/>
    <cellStyle name="20% - Accent3 3 5 2 3" xfId="12135" xr:uid="{70DB5AC8-DE76-4D80-9309-A9034B7BDC30}"/>
    <cellStyle name="20% - Accent3 3 5 3" xfId="5766" xr:uid="{00000000-0005-0000-0000-0000B2010000}"/>
    <cellStyle name="20% - Accent3 3 5 3 2" xfId="14208" xr:uid="{61D3CF72-A84E-41AC-9B97-E997ED24342A}"/>
    <cellStyle name="20% - Accent3 3 5 4" xfId="9990" xr:uid="{FF5A1730-D958-45A2-9B44-6EC249D5B694}"/>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76D1B07A-F020-427E-B8B1-E9519FE4F334}"/>
    <cellStyle name="20% - Accent3 3 6 2 3" xfId="12548" xr:uid="{0065759F-07CB-417D-B282-958A963232D4}"/>
    <cellStyle name="20% - Accent3 3 6 3" xfId="6179" xr:uid="{00000000-0005-0000-0000-0000B6010000}"/>
    <cellStyle name="20% - Accent3 3 6 3 2" xfId="14621" xr:uid="{55B3C7AD-20F0-4FFD-9BF4-0943D7307336}"/>
    <cellStyle name="20% - Accent3 3 6 4" xfId="10403" xr:uid="{3FFB9976-1429-48FA-95A2-5045BE87226F}"/>
    <cellStyle name="20% - Accent3 3 7" xfId="2285" xr:uid="{00000000-0005-0000-0000-0000B7010000}"/>
    <cellStyle name="20% - Accent3 3 7 2" xfId="6592" xr:uid="{00000000-0005-0000-0000-0000B8010000}"/>
    <cellStyle name="20% - Accent3 3 7 2 2" xfId="15034" xr:uid="{1C263C84-2E60-41D5-AD7C-F4AC34C268E5}"/>
    <cellStyle name="20% - Accent3 3 7 3" xfId="10816" xr:uid="{CDEE7A40-B081-4348-8D2C-2CECBF0123E0}"/>
    <cellStyle name="20% - Accent3 3 8" xfId="4526" xr:uid="{00000000-0005-0000-0000-0000B9010000}"/>
    <cellStyle name="20% - Accent3 3 8 2" xfId="12968" xr:uid="{25098A38-8A9E-4304-AFD4-6FAB260EF53D}"/>
    <cellStyle name="20% - Accent3 3 9" xfId="8750" xr:uid="{C9FAF537-2846-406B-B308-9646010882BD}"/>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69F8FA21-FCE2-4530-9E41-5D6B7816ECDF}"/>
    <cellStyle name="20% - Accent3 4 2 2 3" xfId="11311" xr:uid="{0242EB5E-B908-496F-813D-DDAB3628855E}"/>
    <cellStyle name="20% - Accent3 4 2 3" xfId="4942" xr:uid="{00000000-0005-0000-0000-0000BE010000}"/>
    <cellStyle name="20% - Accent3 4 2 3 2" xfId="13384" xr:uid="{7C70F9B5-B663-41E2-8113-3D5874687EBD}"/>
    <cellStyle name="20% - Accent3 4 2 4" xfId="9166" xr:uid="{51984E56-4A24-42DE-A5A6-8485A593CB0D}"/>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D9FC4C46-38FA-4150-B248-5A5EE50E9310}"/>
    <cellStyle name="20% - Accent3 4 3 2 3" xfId="11724" xr:uid="{A51BCC6E-9FF2-41A5-BB22-0CFDA74D9B56}"/>
    <cellStyle name="20% - Accent3 4 3 3" xfId="5355" xr:uid="{00000000-0005-0000-0000-0000C2010000}"/>
    <cellStyle name="20% - Accent3 4 3 3 2" xfId="13797" xr:uid="{1AC685E1-6DFD-4E29-A6B8-3BD4EF991D21}"/>
    <cellStyle name="20% - Accent3 4 3 4" xfId="9579" xr:uid="{9FD17445-9299-4BB6-81B7-70BF800AC33C}"/>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20E7F313-FF88-428A-B152-510EAE83E578}"/>
    <cellStyle name="20% - Accent3 4 4 2 3" xfId="12137" xr:uid="{CD39739B-3624-4C84-A3AF-AD1D801E9237}"/>
    <cellStyle name="20% - Accent3 4 4 3" xfId="5768" xr:uid="{00000000-0005-0000-0000-0000C6010000}"/>
    <cellStyle name="20% - Accent3 4 4 3 2" xfId="14210" xr:uid="{918376ED-E6EE-41D4-8668-20046C50FE6B}"/>
    <cellStyle name="20% - Accent3 4 4 4" xfId="9992" xr:uid="{6133D769-EE99-41A4-B939-1E19D4A232FE}"/>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D63D8032-13B5-474E-AF9F-24D014012E13}"/>
    <cellStyle name="20% - Accent3 4 5 2 3" xfId="12550" xr:uid="{38E2D5D0-814E-4B0F-B903-303F30805585}"/>
    <cellStyle name="20% - Accent3 4 5 3" xfId="6181" xr:uid="{00000000-0005-0000-0000-0000CA010000}"/>
    <cellStyle name="20% - Accent3 4 5 3 2" xfId="14623" xr:uid="{CF029D02-2874-4471-869E-B61CF2A4F32A}"/>
    <cellStyle name="20% - Accent3 4 5 4" xfId="10405" xr:uid="{6594EA08-4761-4E47-9937-EA55E7124722}"/>
    <cellStyle name="20% - Accent3 4 6" xfId="2287" xr:uid="{00000000-0005-0000-0000-0000CB010000}"/>
    <cellStyle name="20% - Accent3 4 6 2" xfId="6594" xr:uid="{00000000-0005-0000-0000-0000CC010000}"/>
    <cellStyle name="20% - Accent3 4 6 2 2" xfId="15036" xr:uid="{C3C757D1-467E-4456-AA8E-5E70D54D5AED}"/>
    <cellStyle name="20% - Accent3 4 6 3" xfId="10818" xr:uid="{DD8ABA6F-B833-4648-936D-F9AADEA8BF16}"/>
    <cellStyle name="20% - Accent3 4 7" xfId="4528" xr:uid="{00000000-0005-0000-0000-0000CD010000}"/>
    <cellStyle name="20% - Accent3 4 7 2" xfId="12970" xr:uid="{6E568931-1566-4886-B07A-76E076D6C8F2}"/>
    <cellStyle name="20% - Accent3 4 8" xfId="8752" xr:uid="{1344DEEF-269E-4D07-BA8F-FDE6ABBE2404}"/>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D9446BD2-4475-4E99-ABDC-FBCA15CA435F}"/>
    <cellStyle name="20% - Accent3 5 2 3" xfId="11304" xr:uid="{D90C702D-7749-4598-B98C-6A13FF255D88}"/>
    <cellStyle name="20% - Accent3 5 3" xfId="4935" xr:uid="{00000000-0005-0000-0000-0000D1010000}"/>
    <cellStyle name="20% - Accent3 5 3 2" xfId="13377" xr:uid="{E5ADF2A2-A21B-4A02-BCF6-2053D2F88FF2}"/>
    <cellStyle name="20% - Accent3 5 4" xfId="9159" xr:uid="{8065232F-F954-450B-8E0A-5C04E1C75500}"/>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0C77076F-D3CB-48B9-8694-72FB247A3922}"/>
    <cellStyle name="20% - Accent3 6 2 3" xfId="11717" xr:uid="{DC94DF1A-5AF6-47BB-B47A-FB565437D0CD}"/>
    <cellStyle name="20% - Accent3 6 3" xfId="5348" xr:uid="{00000000-0005-0000-0000-0000D5010000}"/>
    <cellStyle name="20% - Accent3 6 3 2" xfId="13790" xr:uid="{569F4B0F-D409-4427-A8C9-2D1D3C2A2747}"/>
    <cellStyle name="20% - Accent3 6 4" xfId="9572" xr:uid="{C498F27B-103F-44C4-B795-A9104F7324D2}"/>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1E51104C-F46C-4524-AD7F-4821A3D41876}"/>
    <cellStyle name="20% - Accent3 7 2 3" xfId="12130" xr:uid="{E501CCB2-7E7B-49BD-B6F3-52F46C12BACB}"/>
    <cellStyle name="20% - Accent3 7 3" xfId="5761" xr:uid="{00000000-0005-0000-0000-0000D9010000}"/>
    <cellStyle name="20% - Accent3 7 3 2" xfId="14203" xr:uid="{58AACEC8-F66E-4F4E-9174-6FF8C2638826}"/>
    <cellStyle name="20% - Accent3 7 4" xfId="9985" xr:uid="{ED40A28F-08C7-427A-8C81-FBADEED79805}"/>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4A0ABE3A-4D04-4937-9C9F-A726BC08B4C8}"/>
    <cellStyle name="20% - Accent3 8 2 3" xfId="12543" xr:uid="{B4825A58-6909-4D7F-8BFA-D1E13AEB1B1E}"/>
    <cellStyle name="20% - Accent3 8 3" xfId="6174" xr:uid="{00000000-0005-0000-0000-0000DD010000}"/>
    <cellStyle name="20% - Accent3 8 3 2" xfId="14616" xr:uid="{8ACF9E03-2535-4BF3-82F1-7AF8F1E24E4A}"/>
    <cellStyle name="20% - Accent3 8 4" xfId="10398" xr:uid="{48A1FB6F-77F2-474A-AA28-0D07D07AF7FC}"/>
    <cellStyle name="20% - Accent3 9" xfId="2280" xr:uid="{00000000-0005-0000-0000-0000DE010000}"/>
    <cellStyle name="20% - Accent3 9 2" xfId="6587" xr:uid="{00000000-0005-0000-0000-0000DF010000}"/>
    <cellStyle name="20% - Accent3 9 2 2" xfId="15029" xr:uid="{7E5232C2-CDFE-4E4D-B37E-092A64C7471E}"/>
    <cellStyle name="20% - Accent3 9 3" xfId="10811" xr:uid="{DEE2237B-A288-427C-9600-F7336A54C9CA}"/>
    <cellStyle name="20% - Accent4" xfId="25" builtinId="42" customBuiltin="1"/>
    <cellStyle name="20% - Accent4 10" xfId="4529" xr:uid="{00000000-0005-0000-0000-0000E1010000}"/>
    <cellStyle name="20% - Accent4 10 2" xfId="12971" xr:uid="{E0385FB8-4580-4490-AA00-480C7554B24A}"/>
    <cellStyle name="20% - Accent4 11" xfId="8753" xr:uid="{2BA07A54-CB8A-4F26-933B-297732663EE1}"/>
    <cellStyle name="20% - Accent4 2" xfId="26" xr:uid="{00000000-0005-0000-0000-0000E2010000}"/>
    <cellStyle name="20% - Accent4 2 10" xfId="8754" xr:uid="{C094FD5E-6BDC-4A0D-A341-E18405E5594A}"/>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7F17C934-FB41-4E02-A222-5EAA03ADD944}"/>
    <cellStyle name="20% - Accent4 2 2 2 2 2 3" xfId="11315" xr:uid="{6EEFF31E-ADC9-4637-976C-393702ABBA26}"/>
    <cellStyle name="20% - Accent4 2 2 2 2 3" xfId="4946" xr:uid="{00000000-0005-0000-0000-0000E8010000}"/>
    <cellStyle name="20% - Accent4 2 2 2 2 3 2" xfId="13388" xr:uid="{DA536678-C8A8-467E-8A39-67D4CEB6B317}"/>
    <cellStyle name="20% - Accent4 2 2 2 2 4" xfId="9170" xr:uid="{ADD1C3A2-D578-44B4-B9E5-3CDFD1FFFD64}"/>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7A172B69-9582-4B3D-B52A-D17FCE2EC34D}"/>
    <cellStyle name="20% - Accent4 2 2 2 3 2 3" xfId="11728" xr:uid="{804AF46C-A056-4F57-B77D-2C0659180D12}"/>
    <cellStyle name="20% - Accent4 2 2 2 3 3" xfId="5359" xr:uid="{00000000-0005-0000-0000-0000EC010000}"/>
    <cellStyle name="20% - Accent4 2 2 2 3 3 2" xfId="13801" xr:uid="{3E38A5AB-2EEB-4F78-AADF-E6C839F106E1}"/>
    <cellStyle name="20% - Accent4 2 2 2 3 4" xfId="9583" xr:uid="{5DC72CBF-4D81-4357-9DAE-6773FB543216}"/>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1A7EE96A-AA2D-4F96-9BF1-A226A6951C24}"/>
    <cellStyle name="20% - Accent4 2 2 2 4 2 3" xfId="12141" xr:uid="{F61CA62E-2ED6-4C53-994D-923AD2F92CEB}"/>
    <cellStyle name="20% - Accent4 2 2 2 4 3" xfId="5772" xr:uid="{00000000-0005-0000-0000-0000F0010000}"/>
    <cellStyle name="20% - Accent4 2 2 2 4 3 2" xfId="14214" xr:uid="{7653385C-568D-4F73-9707-0FDF451E10AA}"/>
    <cellStyle name="20% - Accent4 2 2 2 4 4" xfId="9996" xr:uid="{DD74AF0B-D012-41CB-AB46-7DCDAB47A577}"/>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FD235330-E10D-45C4-9522-DAD5C3509134}"/>
    <cellStyle name="20% - Accent4 2 2 2 5 2 3" xfId="12554" xr:uid="{F56D0486-E7B9-4C9B-A40D-35EBFDC0AC72}"/>
    <cellStyle name="20% - Accent4 2 2 2 5 3" xfId="6185" xr:uid="{00000000-0005-0000-0000-0000F4010000}"/>
    <cellStyle name="20% - Accent4 2 2 2 5 3 2" xfId="14627" xr:uid="{C7E8259E-3722-4162-B2D1-C0BD30873522}"/>
    <cellStyle name="20% - Accent4 2 2 2 5 4" xfId="10409" xr:uid="{7CBF1B94-EE45-431D-8129-71E39C79D487}"/>
    <cellStyle name="20% - Accent4 2 2 2 6" xfId="2291" xr:uid="{00000000-0005-0000-0000-0000F5010000}"/>
    <cellStyle name="20% - Accent4 2 2 2 6 2" xfId="6598" xr:uid="{00000000-0005-0000-0000-0000F6010000}"/>
    <cellStyle name="20% - Accent4 2 2 2 6 2 2" xfId="15040" xr:uid="{10FACEB6-49F4-4F46-B140-874B884E082E}"/>
    <cellStyle name="20% - Accent4 2 2 2 6 3" xfId="10822" xr:uid="{D7FA4E51-326E-4EB1-8101-143DC3DE173F}"/>
    <cellStyle name="20% - Accent4 2 2 2 7" xfId="4532" xr:uid="{00000000-0005-0000-0000-0000F7010000}"/>
    <cellStyle name="20% - Accent4 2 2 2 7 2" xfId="12974" xr:uid="{6A9572EC-737C-4E28-8033-0CBCBACF5C66}"/>
    <cellStyle name="20% - Accent4 2 2 2 8" xfId="8756" xr:uid="{5D725C4D-30B6-477D-915E-F625DCF96135}"/>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39E2D3FE-70DB-431E-BC7A-2B246C19DBCF}"/>
    <cellStyle name="20% - Accent4 2 2 3 2 3" xfId="11314" xr:uid="{631F529D-6507-4B27-9543-0A9619A644DD}"/>
    <cellStyle name="20% - Accent4 2 2 3 3" xfId="4945" xr:uid="{00000000-0005-0000-0000-0000FB010000}"/>
    <cellStyle name="20% - Accent4 2 2 3 3 2" xfId="13387" xr:uid="{620BE583-E947-490E-A97F-5B60E5CD6B25}"/>
    <cellStyle name="20% - Accent4 2 2 3 4" xfId="9169" xr:uid="{F5E082BA-E750-495A-A61B-2C0284303EFA}"/>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E14A04A7-E30A-46B5-86AD-F58F2CC70683}"/>
    <cellStyle name="20% - Accent4 2 2 4 2 3" xfId="11727" xr:uid="{081BC525-5345-4E2B-94CC-CC8C3EAE9A9B}"/>
    <cellStyle name="20% - Accent4 2 2 4 3" xfId="5358" xr:uid="{00000000-0005-0000-0000-0000FF010000}"/>
    <cellStyle name="20% - Accent4 2 2 4 3 2" xfId="13800" xr:uid="{830495DD-73A8-4C25-8177-A6B4091F4B08}"/>
    <cellStyle name="20% - Accent4 2 2 4 4" xfId="9582" xr:uid="{839A13F0-6975-42C9-9D14-D99363912C8B}"/>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A6D05A61-667A-4207-91B7-E37F8D25A956}"/>
    <cellStyle name="20% - Accent4 2 2 5 2 3" xfId="12140" xr:uid="{687FA9C8-AEAE-4F5E-89FF-3FC8BDA62814}"/>
    <cellStyle name="20% - Accent4 2 2 5 3" xfId="5771" xr:uid="{00000000-0005-0000-0000-000003020000}"/>
    <cellStyle name="20% - Accent4 2 2 5 3 2" xfId="14213" xr:uid="{97DA1A7E-E5A7-4C78-9D9B-05C793A5E293}"/>
    <cellStyle name="20% - Accent4 2 2 5 4" xfId="9995" xr:uid="{0AA748FB-1564-4070-8DE4-9BD848A6B35D}"/>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3C5BC1B7-D621-4CF1-AF23-169184469387}"/>
    <cellStyle name="20% - Accent4 2 2 6 2 3" xfId="12553" xr:uid="{E2F22C34-6C6B-43E4-B86B-F79A599F3C23}"/>
    <cellStyle name="20% - Accent4 2 2 6 3" xfId="6184" xr:uid="{00000000-0005-0000-0000-000007020000}"/>
    <cellStyle name="20% - Accent4 2 2 6 3 2" xfId="14626" xr:uid="{84D5279B-4122-44C7-BBB6-971FE1E673CA}"/>
    <cellStyle name="20% - Accent4 2 2 6 4" xfId="10408" xr:uid="{9809C931-EA2D-4F3F-87A4-8082B4F1D302}"/>
    <cellStyle name="20% - Accent4 2 2 7" xfId="2290" xr:uid="{00000000-0005-0000-0000-000008020000}"/>
    <cellStyle name="20% - Accent4 2 2 7 2" xfId="6597" xr:uid="{00000000-0005-0000-0000-000009020000}"/>
    <cellStyle name="20% - Accent4 2 2 7 2 2" xfId="15039" xr:uid="{6A581F74-9622-44A1-A63B-46D3AAC1119C}"/>
    <cellStyle name="20% - Accent4 2 2 7 3" xfId="10821" xr:uid="{A49200BD-9891-4AA7-9723-6F8395D5EE9E}"/>
    <cellStyle name="20% - Accent4 2 2 8" xfId="4531" xr:uid="{00000000-0005-0000-0000-00000A020000}"/>
    <cellStyle name="20% - Accent4 2 2 8 2" xfId="12973" xr:uid="{AB5565AF-6C83-4D71-830E-C9AB4506869D}"/>
    <cellStyle name="20% - Accent4 2 2 9" xfId="8755" xr:uid="{FB2780DA-547D-450B-92E1-D4A6C273A5D6}"/>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598F1ACA-1829-4C3C-93C2-C332DDE6896F}"/>
    <cellStyle name="20% - Accent4 2 3 2 2 3" xfId="11316" xr:uid="{CA4BCA90-8F46-48FE-9082-D903EC183F8A}"/>
    <cellStyle name="20% - Accent4 2 3 2 3" xfId="4947" xr:uid="{00000000-0005-0000-0000-00000F020000}"/>
    <cellStyle name="20% - Accent4 2 3 2 3 2" xfId="13389" xr:uid="{DBA177C6-4A8C-4B88-8D52-8B9FD71C32C3}"/>
    <cellStyle name="20% - Accent4 2 3 2 4" xfId="9171" xr:uid="{D114E5AE-0AA3-412D-B6A1-C4B95300E9B3}"/>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D4962FEB-DDF2-41E1-B752-5FA023323BC2}"/>
    <cellStyle name="20% - Accent4 2 3 3 2 3" xfId="11729" xr:uid="{8970EA25-C2D0-41E7-8847-8259240BA581}"/>
    <cellStyle name="20% - Accent4 2 3 3 3" xfId="5360" xr:uid="{00000000-0005-0000-0000-000013020000}"/>
    <cellStyle name="20% - Accent4 2 3 3 3 2" xfId="13802" xr:uid="{B3C0016B-4612-4A78-8C4E-25E3792FCFE3}"/>
    <cellStyle name="20% - Accent4 2 3 3 4" xfId="9584" xr:uid="{D2E7A5F3-FD43-4749-BEDF-BE14F8E1F2EA}"/>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DC8869AD-2A9E-4A20-A8E2-04628F328D8F}"/>
    <cellStyle name="20% - Accent4 2 3 4 2 3" xfId="12142" xr:uid="{6F89EF51-90B4-4050-B170-B46C38D76D2D}"/>
    <cellStyle name="20% - Accent4 2 3 4 3" xfId="5773" xr:uid="{00000000-0005-0000-0000-000017020000}"/>
    <cellStyle name="20% - Accent4 2 3 4 3 2" xfId="14215" xr:uid="{2B15E4F7-669F-4356-B495-BB7C42BD7EF3}"/>
    <cellStyle name="20% - Accent4 2 3 4 4" xfId="9997" xr:uid="{58D1C374-151D-4A50-BFB7-5FD40A89D0E9}"/>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10851434-0A79-4C2C-92E2-FFCF1A48B1BD}"/>
    <cellStyle name="20% - Accent4 2 3 5 2 3" xfId="12555" xr:uid="{FEEEAB0F-B125-4897-B9A3-FB4B14414171}"/>
    <cellStyle name="20% - Accent4 2 3 5 3" xfId="6186" xr:uid="{00000000-0005-0000-0000-00001B020000}"/>
    <cellStyle name="20% - Accent4 2 3 5 3 2" xfId="14628" xr:uid="{C8F4CC02-2979-46CA-8BD3-00BEF3331712}"/>
    <cellStyle name="20% - Accent4 2 3 5 4" xfId="10410" xr:uid="{71B28FF8-AA2A-4019-999C-A8507E03C7DA}"/>
    <cellStyle name="20% - Accent4 2 3 6" xfId="2292" xr:uid="{00000000-0005-0000-0000-00001C020000}"/>
    <cellStyle name="20% - Accent4 2 3 6 2" xfId="6599" xr:uid="{00000000-0005-0000-0000-00001D020000}"/>
    <cellStyle name="20% - Accent4 2 3 6 2 2" xfId="15041" xr:uid="{0FEE1E4C-35A9-440A-9900-457DAF7D1570}"/>
    <cellStyle name="20% - Accent4 2 3 6 3" xfId="10823" xr:uid="{7F97067C-7EE6-4525-88C8-8B496BB58185}"/>
    <cellStyle name="20% - Accent4 2 3 7" xfId="4533" xr:uid="{00000000-0005-0000-0000-00001E020000}"/>
    <cellStyle name="20% - Accent4 2 3 7 2" xfId="12975" xr:uid="{0123E6D7-6888-46EF-BAD2-11D150EA2DE8}"/>
    <cellStyle name="20% - Accent4 2 3 8" xfId="8757" xr:uid="{0942CC5D-2FAF-4F73-A455-E82BEE43370D}"/>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C337FBC9-028E-42BF-A2F3-A3C6C377E0FC}"/>
    <cellStyle name="20% - Accent4 2 4 2 3" xfId="11313" xr:uid="{E5D8C753-FDC4-42F7-BC92-E51880041480}"/>
    <cellStyle name="20% - Accent4 2 4 3" xfId="4944" xr:uid="{00000000-0005-0000-0000-000022020000}"/>
    <cellStyle name="20% - Accent4 2 4 3 2" xfId="13386" xr:uid="{E80B725F-41C1-4118-954B-FFCDE63230CE}"/>
    <cellStyle name="20% - Accent4 2 4 4" xfId="9168" xr:uid="{75A9A8E2-7164-4F05-9B24-E1EF25E719F7}"/>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E824EE56-924D-4006-A218-28A1A98793C6}"/>
    <cellStyle name="20% - Accent4 2 5 2 3" xfId="11726" xr:uid="{836E0B14-FBFA-4CE7-BF62-B495339918FE}"/>
    <cellStyle name="20% - Accent4 2 5 3" xfId="5357" xr:uid="{00000000-0005-0000-0000-000026020000}"/>
    <cellStyle name="20% - Accent4 2 5 3 2" xfId="13799" xr:uid="{5EC2BC71-A11D-4B9E-B3CD-DCF0B76D0FB0}"/>
    <cellStyle name="20% - Accent4 2 5 4" xfId="9581" xr:uid="{111D91EE-2DDE-48A3-A9A1-E4105699F06A}"/>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F8505EB2-DE32-45F3-B00E-93121D52FB72}"/>
    <cellStyle name="20% - Accent4 2 6 2 3" xfId="12139" xr:uid="{10D29499-A123-4816-B12A-51413005495A}"/>
    <cellStyle name="20% - Accent4 2 6 3" xfId="5770" xr:uid="{00000000-0005-0000-0000-00002A020000}"/>
    <cellStyle name="20% - Accent4 2 6 3 2" xfId="14212" xr:uid="{978F622C-9643-44EA-A9DD-F014D1C90B9C}"/>
    <cellStyle name="20% - Accent4 2 6 4" xfId="9994" xr:uid="{716B9A89-6A49-4851-AD6F-957D04325192}"/>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A8DA5C29-6FA7-4114-8F4B-DF593FDB955F}"/>
    <cellStyle name="20% - Accent4 2 7 2 3" xfId="12552" xr:uid="{A90BF640-CC58-4E34-B113-A790D081A6C8}"/>
    <cellStyle name="20% - Accent4 2 7 3" xfId="6183" xr:uid="{00000000-0005-0000-0000-00002E020000}"/>
    <cellStyle name="20% - Accent4 2 7 3 2" xfId="14625" xr:uid="{DAF6C154-D90C-48F4-90B6-6E3231D29236}"/>
    <cellStyle name="20% - Accent4 2 7 4" xfId="10407" xr:uid="{E29FF35C-E8E4-4576-9CEC-48F3DCB7A1F4}"/>
    <cellStyle name="20% - Accent4 2 8" xfId="2289" xr:uid="{00000000-0005-0000-0000-00002F020000}"/>
    <cellStyle name="20% - Accent4 2 8 2" xfId="6596" xr:uid="{00000000-0005-0000-0000-000030020000}"/>
    <cellStyle name="20% - Accent4 2 8 2 2" xfId="15038" xr:uid="{0F9CFA41-073A-4E28-8631-7D077BD894D8}"/>
    <cellStyle name="20% - Accent4 2 8 3" xfId="10820" xr:uid="{AD7FEB63-C6B1-4145-B85E-017791D8D847}"/>
    <cellStyle name="20% - Accent4 2 9" xfId="4530" xr:uid="{00000000-0005-0000-0000-000031020000}"/>
    <cellStyle name="20% - Accent4 2 9 2" xfId="12972" xr:uid="{EB786503-49A9-4920-BB55-D69C898C1BFA}"/>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D28538B4-C0DA-49E2-8707-A90D39AD0988}"/>
    <cellStyle name="20% - Accent4 3 2 2 2 3" xfId="11318" xr:uid="{E31639A8-FC76-44FE-85E8-22F1EF704566}"/>
    <cellStyle name="20% - Accent4 3 2 2 3" xfId="4949" xr:uid="{00000000-0005-0000-0000-000037020000}"/>
    <cellStyle name="20% - Accent4 3 2 2 3 2" xfId="13391" xr:uid="{A4226EA0-D875-4601-8B57-91322675DBA5}"/>
    <cellStyle name="20% - Accent4 3 2 2 4" xfId="9173" xr:uid="{9FFFD807-7DDC-4A91-A86A-9518E65B8CDF}"/>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3B6D4B61-C45D-4D44-BF75-6F80631A5D9B}"/>
    <cellStyle name="20% - Accent4 3 2 3 2 3" xfId="11731" xr:uid="{75FB7B0E-57D7-4DD8-AD1D-49E540180226}"/>
    <cellStyle name="20% - Accent4 3 2 3 3" xfId="5362" xr:uid="{00000000-0005-0000-0000-00003B020000}"/>
    <cellStyle name="20% - Accent4 3 2 3 3 2" xfId="13804" xr:uid="{5AD67A58-6AAD-4B0E-B350-FE4564462FBD}"/>
    <cellStyle name="20% - Accent4 3 2 3 4" xfId="9586" xr:uid="{2360F98A-B737-4214-A93B-BF5B62E66F73}"/>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E730B1A2-E998-4702-94EA-EE3D29FC3B70}"/>
    <cellStyle name="20% - Accent4 3 2 4 2 3" xfId="12144" xr:uid="{31C1A54D-8EC7-4015-AB11-8613044DE3DB}"/>
    <cellStyle name="20% - Accent4 3 2 4 3" xfId="5775" xr:uid="{00000000-0005-0000-0000-00003F020000}"/>
    <cellStyle name="20% - Accent4 3 2 4 3 2" xfId="14217" xr:uid="{8F2CD516-9CF7-4220-AEF6-2B486E0D6641}"/>
    <cellStyle name="20% - Accent4 3 2 4 4" xfId="9999" xr:uid="{D8F460F1-F407-43EF-AFE9-1386EBA622DC}"/>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42021703-1C57-4FC7-85EB-C956E8E6132D}"/>
    <cellStyle name="20% - Accent4 3 2 5 2 3" xfId="12557" xr:uid="{EDD0C0E1-0653-4054-BDE7-1FA03B4E0DB3}"/>
    <cellStyle name="20% - Accent4 3 2 5 3" xfId="6188" xr:uid="{00000000-0005-0000-0000-000043020000}"/>
    <cellStyle name="20% - Accent4 3 2 5 3 2" xfId="14630" xr:uid="{EBEE6B33-3F1B-4841-8B72-A985FA2CFFD8}"/>
    <cellStyle name="20% - Accent4 3 2 5 4" xfId="10412" xr:uid="{2CCBC069-A37A-437F-8D31-B0A5F7E94D49}"/>
    <cellStyle name="20% - Accent4 3 2 6" xfId="2294" xr:uid="{00000000-0005-0000-0000-000044020000}"/>
    <cellStyle name="20% - Accent4 3 2 6 2" xfId="6601" xr:uid="{00000000-0005-0000-0000-000045020000}"/>
    <cellStyle name="20% - Accent4 3 2 6 2 2" xfId="15043" xr:uid="{AA9D10FA-1419-4097-A915-060FB666A305}"/>
    <cellStyle name="20% - Accent4 3 2 6 3" xfId="10825" xr:uid="{432B051A-2044-4FB2-933E-80E6A92E5E55}"/>
    <cellStyle name="20% - Accent4 3 2 7" xfId="4535" xr:uid="{00000000-0005-0000-0000-000046020000}"/>
    <cellStyle name="20% - Accent4 3 2 7 2" xfId="12977" xr:uid="{ED4D85FE-705B-4953-8E14-AD4B342F80E6}"/>
    <cellStyle name="20% - Accent4 3 2 8" xfId="8759" xr:uid="{A59591CA-E94C-4183-8651-09ADA43D50BE}"/>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C74BE05F-1B2C-4485-ADED-C6422BA0ECBD}"/>
    <cellStyle name="20% - Accent4 3 3 2 3" xfId="11317" xr:uid="{8DE6B5D7-E838-4EF9-9E17-C4DD9459C450}"/>
    <cellStyle name="20% - Accent4 3 3 3" xfId="4948" xr:uid="{00000000-0005-0000-0000-00004A020000}"/>
    <cellStyle name="20% - Accent4 3 3 3 2" xfId="13390" xr:uid="{99EE07BA-36A0-4DC3-AC20-02EE4534BEB4}"/>
    <cellStyle name="20% - Accent4 3 3 4" xfId="9172" xr:uid="{B19727CD-E997-436F-82AB-BFBA22DAD98B}"/>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522BFE21-01D6-41FA-8E66-22ECB1EC12C0}"/>
    <cellStyle name="20% - Accent4 3 4 2 3" xfId="11730" xr:uid="{BC700A24-89E9-4C58-9558-17A315FB768A}"/>
    <cellStyle name="20% - Accent4 3 4 3" xfId="5361" xr:uid="{00000000-0005-0000-0000-00004E020000}"/>
    <cellStyle name="20% - Accent4 3 4 3 2" xfId="13803" xr:uid="{15F62D0F-D71E-4D4D-81DE-2523C799F117}"/>
    <cellStyle name="20% - Accent4 3 4 4" xfId="9585" xr:uid="{FE2D41E0-C452-49FA-86EB-370ABC376ABD}"/>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ACF01F02-4947-417E-A785-6D2440CED2C2}"/>
    <cellStyle name="20% - Accent4 3 5 2 3" xfId="12143" xr:uid="{6676CFB8-C720-4120-A411-584F3C022920}"/>
    <cellStyle name="20% - Accent4 3 5 3" xfId="5774" xr:uid="{00000000-0005-0000-0000-000052020000}"/>
    <cellStyle name="20% - Accent4 3 5 3 2" xfId="14216" xr:uid="{DCCB21E2-A95E-4EE3-AA69-755B77D1C4A2}"/>
    <cellStyle name="20% - Accent4 3 5 4" xfId="9998" xr:uid="{385797AE-F89C-4CD3-BAD6-604F3A24EE43}"/>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C281E51B-41E2-4F57-B231-DD7D028E32EA}"/>
    <cellStyle name="20% - Accent4 3 6 2 3" xfId="12556" xr:uid="{35A9FD58-B7A9-47B7-970F-AC334DB59391}"/>
    <cellStyle name="20% - Accent4 3 6 3" xfId="6187" xr:uid="{00000000-0005-0000-0000-000056020000}"/>
    <cellStyle name="20% - Accent4 3 6 3 2" xfId="14629" xr:uid="{984A8734-CA25-47DF-8851-7F2C0764AC53}"/>
    <cellStyle name="20% - Accent4 3 6 4" xfId="10411" xr:uid="{EC8A6ECE-5FD7-4E59-9EDB-A5039FCCF998}"/>
    <cellStyle name="20% - Accent4 3 7" xfId="2293" xr:uid="{00000000-0005-0000-0000-000057020000}"/>
    <cellStyle name="20% - Accent4 3 7 2" xfId="6600" xr:uid="{00000000-0005-0000-0000-000058020000}"/>
    <cellStyle name="20% - Accent4 3 7 2 2" xfId="15042" xr:uid="{B22257E3-6485-45C0-88C8-963D2DEA82B9}"/>
    <cellStyle name="20% - Accent4 3 7 3" xfId="10824" xr:uid="{7452EF1C-A9A5-4968-8773-BCA96AD7EBBB}"/>
    <cellStyle name="20% - Accent4 3 8" xfId="4534" xr:uid="{00000000-0005-0000-0000-000059020000}"/>
    <cellStyle name="20% - Accent4 3 8 2" xfId="12976" xr:uid="{D00B4803-B8D9-4F3D-B4AA-9C2F09FD1343}"/>
    <cellStyle name="20% - Accent4 3 9" xfId="8758" xr:uid="{E6EAB259-3217-4941-BC3F-10F26CC20ED8}"/>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836A645A-988D-48ED-BA08-5369998DFF05}"/>
    <cellStyle name="20% - Accent4 4 2 2 3" xfId="11319" xr:uid="{E5CD74A4-7D2C-4480-8332-A3721CECC8F6}"/>
    <cellStyle name="20% - Accent4 4 2 3" xfId="4950" xr:uid="{00000000-0005-0000-0000-00005E020000}"/>
    <cellStyle name="20% - Accent4 4 2 3 2" xfId="13392" xr:uid="{ABF3B906-B60D-4F58-9779-5F28EAEE144C}"/>
    <cellStyle name="20% - Accent4 4 2 4" xfId="9174" xr:uid="{3F29E8FB-974B-4604-935B-37F201AD0856}"/>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08EDDA73-482A-42E8-946E-8E393F9315F5}"/>
    <cellStyle name="20% - Accent4 4 3 2 3" xfId="11732" xr:uid="{8679F03F-CF3D-47C1-9982-D1849BCAA3F3}"/>
    <cellStyle name="20% - Accent4 4 3 3" xfId="5363" xr:uid="{00000000-0005-0000-0000-000062020000}"/>
    <cellStyle name="20% - Accent4 4 3 3 2" xfId="13805" xr:uid="{6005D4ED-E4D1-47D5-A9B3-318A68E39A0E}"/>
    <cellStyle name="20% - Accent4 4 3 4" xfId="9587" xr:uid="{6EEC9EC0-9454-48C9-848C-07E5DD76A1F7}"/>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013B37B9-62ED-499C-ADB7-4C3573D85CC5}"/>
    <cellStyle name="20% - Accent4 4 4 2 3" xfId="12145" xr:uid="{F376ED1D-9C21-4665-91D3-9B751E6144DB}"/>
    <cellStyle name="20% - Accent4 4 4 3" xfId="5776" xr:uid="{00000000-0005-0000-0000-000066020000}"/>
    <cellStyle name="20% - Accent4 4 4 3 2" xfId="14218" xr:uid="{225AFF04-2205-4BAC-BBD9-DD6EB2C322B0}"/>
    <cellStyle name="20% - Accent4 4 4 4" xfId="10000" xr:uid="{1E8FBA85-2B8D-483C-A75C-575DC20E8AB1}"/>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838C6567-8A5A-4980-A160-31AC78333BB2}"/>
    <cellStyle name="20% - Accent4 4 5 2 3" xfId="12558" xr:uid="{5A583DA2-8FD7-455F-8595-28DC759450CA}"/>
    <cellStyle name="20% - Accent4 4 5 3" xfId="6189" xr:uid="{00000000-0005-0000-0000-00006A020000}"/>
    <cellStyle name="20% - Accent4 4 5 3 2" xfId="14631" xr:uid="{E196B59F-C2C6-493F-AC91-CDCE42620132}"/>
    <cellStyle name="20% - Accent4 4 5 4" xfId="10413" xr:uid="{0DD6D867-687F-4C1F-A4BA-ECE98E2CFD7D}"/>
    <cellStyle name="20% - Accent4 4 6" xfId="2295" xr:uid="{00000000-0005-0000-0000-00006B020000}"/>
    <cellStyle name="20% - Accent4 4 6 2" xfId="6602" xr:uid="{00000000-0005-0000-0000-00006C020000}"/>
    <cellStyle name="20% - Accent4 4 6 2 2" xfId="15044" xr:uid="{07E41D2C-9D56-436C-8780-F891C993D153}"/>
    <cellStyle name="20% - Accent4 4 6 3" xfId="10826" xr:uid="{84E821E1-084C-47E1-B050-4D7BF4446455}"/>
    <cellStyle name="20% - Accent4 4 7" xfId="4536" xr:uid="{00000000-0005-0000-0000-00006D020000}"/>
    <cellStyle name="20% - Accent4 4 7 2" xfId="12978" xr:uid="{A2FCFCD2-B571-4920-AE6B-161DBFC01147}"/>
    <cellStyle name="20% - Accent4 4 8" xfId="8760" xr:uid="{53036F6E-8557-4DD7-8D5A-518BC74017D7}"/>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C70B684D-6681-484F-BC90-5FAC448622FE}"/>
    <cellStyle name="20% - Accent4 5 2 3" xfId="11312" xr:uid="{0DB53945-AA68-4E3A-A227-A8EE444A69D3}"/>
    <cellStyle name="20% - Accent4 5 3" xfId="4943" xr:uid="{00000000-0005-0000-0000-000071020000}"/>
    <cellStyle name="20% - Accent4 5 3 2" xfId="13385" xr:uid="{688534D2-AC33-418C-AAC6-19979D71C3DD}"/>
    <cellStyle name="20% - Accent4 5 4" xfId="9167" xr:uid="{47A5D2C5-A47C-41CC-985A-F47E8D96099B}"/>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F3BE3B4F-DD75-4755-BEE9-B17F4BB2C337}"/>
    <cellStyle name="20% - Accent4 6 2 3" xfId="11725" xr:uid="{65D3BA66-142C-41CF-9F0B-4F48081E306C}"/>
    <cellStyle name="20% - Accent4 6 3" xfId="5356" xr:uid="{00000000-0005-0000-0000-000075020000}"/>
    <cellStyle name="20% - Accent4 6 3 2" xfId="13798" xr:uid="{514C60CF-41DF-41D0-9E9D-E005D16669F1}"/>
    <cellStyle name="20% - Accent4 6 4" xfId="9580" xr:uid="{E9D98BA0-FBE9-4500-8907-8F683617AECC}"/>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EAA8B564-8BD4-4809-92EF-F6162CF13CDA}"/>
    <cellStyle name="20% - Accent4 7 2 3" xfId="12138" xr:uid="{963BFCFF-E71A-4125-A01C-012E2A8A3A8A}"/>
    <cellStyle name="20% - Accent4 7 3" xfId="5769" xr:uid="{00000000-0005-0000-0000-000079020000}"/>
    <cellStyle name="20% - Accent4 7 3 2" xfId="14211" xr:uid="{70BDB909-5AE1-4039-BD73-FF77B6611F62}"/>
    <cellStyle name="20% - Accent4 7 4" xfId="9993" xr:uid="{0432A272-0C0F-4367-8B72-CA6BCA710CC1}"/>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DAEA2B55-CDC6-4DA2-A200-03D11C8A5068}"/>
    <cellStyle name="20% - Accent4 8 2 3" xfId="12551" xr:uid="{BC0C3754-BDF5-4749-BDCD-556DF6BFD9B1}"/>
    <cellStyle name="20% - Accent4 8 3" xfId="6182" xr:uid="{00000000-0005-0000-0000-00007D020000}"/>
    <cellStyle name="20% - Accent4 8 3 2" xfId="14624" xr:uid="{70410A69-D5D9-4DE3-BC13-D2B073B9E3B8}"/>
    <cellStyle name="20% - Accent4 8 4" xfId="10406" xr:uid="{A1A6CE5D-4980-4ADE-A6CB-031D9D803CB3}"/>
    <cellStyle name="20% - Accent4 9" xfId="2288" xr:uid="{00000000-0005-0000-0000-00007E020000}"/>
    <cellStyle name="20% - Accent4 9 2" xfId="6595" xr:uid="{00000000-0005-0000-0000-00007F020000}"/>
    <cellStyle name="20% - Accent4 9 2 2" xfId="15037" xr:uid="{F89AF296-3094-4F27-842C-26B8C873234F}"/>
    <cellStyle name="20% - Accent4 9 3" xfId="10819" xr:uid="{17F778F3-5883-4200-A5DF-7C3F1A088623}"/>
    <cellStyle name="20% - Accent5" xfId="33" builtinId="46" customBuiltin="1"/>
    <cellStyle name="20% - Accent5 10" xfId="4537" xr:uid="{00000000-0005-0000-0000-000081020000}"/>
    <cellStyle name="20% - Accent5 10 2" xfId="12979" xr:uid="{4490441E-2C6B-4404-826D-D6CF5B6352C7}"/>
    <cellStyle name="20% - Accent5 11" xfId="8761" xr:uid="{918E9232-D0CC-45AB-8D21-17F62180FD8F}"/>
    <cellStyle name="20% - Accent5 2" xfId="34" xr:uid="{00000000-0005-0000-0000-000082020000}"/>
    <cellStyle name="20% - Accent5 2 10" xfId="8762" xr:uid="{DCF836CB-5B1C-46ED-82C2-903240D7E7E1}"/>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FBB594B2-2963-4A67-9E27-D2CC7CB7CE32}"/>
    <cellStyle name="20% - Accent5 2 2 2 2 2 3" xfId="11323" xr:uid="{A18F4CDC-262F-4FE9-AC17-8E3047D16591}"/>
    <cellStyle name="20% - Accent5 2 2 2 2 3" xfId="4954" xr:uid="{00000000-0005-0000-0000-000088020000}"/>
    <cellStyle name="20% - Accent5 2 2 2 2 3 2" xfId="13396" xr:uid="{9931438C-84B8-4EC2-9A10-3FFDF5A8AC0A}"/>
    <cellStyle name="20% - Accent5 2 2 2 2 4" xfId="9178" xr:uid="{898F3254-AEC3-4219-8BB3-A66A2B391243}"/>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51590C77-A308-41D4-8BD3-AA0B094A9EB0}"/>
    <cellStyle name="20% - Accent5 2 2 2 3 2 3" xfId="11736" xr:uid="{5B218617-66F8-4BF3-9FE1-F5C1AAC484B2}"/>
    <cellStyle name="20% - Accent5 2 2 2 3 3" xfId="5367" xr:uid="{00000000-0005-0000-0000-00008C020000}"/>
    <cellStyle name="20% - Accent5 2 2 2 3 3 2" xfId="13809" xr:uid="{5BEE0ABE-80E6-42A0-AEB7-FC06067C32DB}"/>
    <cellStyle name="20% - Accent5 2 2 2 3 4" xfId="9591" xr:uid="{FD09F537-983A-48FE-86F3-CA02A4B65151}"/>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699E4416-F769-4728-96F2-61F86BEFE12E}"/>
    <cellStyle name="20% - Accent5 2 2 2 4 2 3" xfId="12149" xr:uid="{1C78E6A7-4BDD-419B-BEF7-CE397A99B365}"/>
    <cellStyle name="20% - Accent5 2 2 2 4 3" xfId="5780" xr:uid="{00000000-0005-0000-0000-000090020000}"/>
    <cellStyle name="20% - Accent5 2 2 2 4 3 2" xfId="14222" xr:uid="{4E73BBD9-C326-448A-99B5-4969F3364C2C}"/>
    <cellStyle name="20% - Accent5 2 2 2 4 4" xfId="10004" xr:uid="{7531A5A6-D941-4192-9C29-978CF8AB6715}"/>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DED8BD7F-6FF0-4CDF-9392-5D0D30FAA9A0}"/>
    <cellStyle name="20% - Accent5 2 2 2 5 2 3" xfId="12562" xr:uid="{87347A06-8D6A-4D1E-91DB-608F1819EB32}"/>
    <cellStyle name="20% - Accent5 2 2 2 5 3" xfId="6193" xr:uid="{00000000-0005-0000-0000-000094020000}"/>
    <cellStyle name="20% - Accent5 2 2 2 5 3 2" xfId="14635" xr:uid="{CC872CD2-EB8E-459A-9550-3CA230483E41}"/>
    <cellStyle name="20% - Accent5 2 2 2 5 4" xfId="10417" xr:uid="{4B9743A4-4DC9-435D-A7D6-1C9B86ABF15F}"/>
    <cellStyle name="20% - Accent5 2 2 2 6" xfId="2299" xr:uid="{00000000-0005-0000-0000-000095020000}"/>
    <cellStyle name="20% - Accent5 2 2 2 6 2" xfId="6606" xr:uid="{00000000-0005-0000-0000-000096020000}"/>
    <cellStyle name="20% - Accent5 2 2 2 6 2 2" xfId="15048" xr:uid="{F370C2C0-A341-48D5-8FA3-517D8D8E1A1A}"/>
    <cellStyle name="20% - Accent5 2 2 2 6 3" xfId="10830" xr:uid="{8ABAA83B-B684-405C-8413-FE74654F0797}"/>
    <cellStyle name="20% - Accent5 2 2 2 7" xfId="4540" xr:uid="{00000000-0005-0000-0000-000097020000}"/>
    <cellStyle name="20% - Accent5 2 2 2 7 2" xfId="12982" xr:uid="{81DBB8E9-0386-4D0F-B345-E1F69840AC38}"/>
    <cellStyle name="20% - Accent5 2 2 2 8" xfId="8764" xr:uid="{76B40537-9364-4322-8C64-3AD8AE9C39DD}"/>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6464F60C-ED98-4CB9-854B-06A5B07CB2C5}"/>
    <cellStyle name="20% - Accent5 2 2 3 2 3" xfId="11322" xr:uid="{B27FD9FA-F05C-44F1-B948-66E08C711E3B}"/>
    <cellStyle name="20% - Accent5 2 2 3 3" xfId="4953" xr:uid="{00000000-0005-0000-0000-00009B020000}"/>
    <cellStyle name="20% - Accent5 2 2 3 3 2" xfId="13395" xr:uid="{EE63260A-3788-4742-B04C-0E58E69D9A85}"/>
    <cellStyle name="20% - Accent5 2 2 3 4" xfId="9177" xr:uid="{7514B353-5967-4730-9F4F-26FBA9C7A1C3}"/>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A328D610-C027-4966-A4EA-0AD69CD2CC0F}"/>
    <cellStyle name="20% - Accent5 2 2 4 2 3" xfId="11735" xr:uid="{F335E3C9-B2CF-42B5-9771-C2C3D76D4C7A}"/>
    <cellStyle name="20% - Accent5 2 2 4 3" xfId="5366" xr:uid="{00000000-0005-0000-0000-00009F020000}"/>
    <cellStyle name="20% - Accent5 2 2 4 3 2" xfId="13808" xr:uid="{33191227-1EC0-476F-9DF2-95BC17DB191D}"/>
    <cellStyle name="20% - Accent5 2 2 4 4" xfId="9590" xr:uid="{A0661437-51E0-4BBD-AD66-D7A060DC2441}"/>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913F66DC-39B1-4E67-B302-355287EC4BAA}"/>
    <cellStyle name="20% - Accent5 2 2 5 2 3" xfId="12148" xr:uid="{D37CCC3B-918E-43A0-B4B9-8E8352C16BF1}"/>
    <cellStyle name="20% - Accent5 2 2 5 3" xfId="5779" xr:uid="{00000000-0005-0000-0000-0000A3020000}"/>
    <cellStyle name="20% - Accent5 2 2 5 3 2" xfId="14221" xr:uid="{9BEE8309-9572-4134-942B-B7F29A8D7379}"/>
    <cellStyle name="20% - Accent5 2 2 5 4" xfId="10003" xr:uid="{87124BB9-9A77-4330-8A20-7131D6AE39A8}"/>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23C7FD80-6B2D-4ED9-ADC6-30A6AA3363C4}"/>
    <cellStyle name="20% - Accent5 2 2 6 2 3" xfId="12561" xr:uid="{B4A959CC-AC24-4818-80FF-39B684A3B81C}"/>
    <cellStyle name="20% - Accent5 2 2 6 3" xfId="6192" xr:uid="{00000000-0005-0000-0000-0000A7020000}"/>
    <cellStyle name="20% - Accent5 2 2 6 3 2" xfId="14634" xr:uid="{FCE57D07-C3D5-4A3E-B3D7-499C872C4399}"/>
    <cellStyle name="20% - Accent5 2 2 6 4" xfId="10416" xr:uid="{20669373-4875-4BF5-8C14-192452141B2F}"/>
    <cellStyle name="20% - Accent5 2 2 7" xfId="2298" xr:uid="{00000000-0005-0000-0000-0000A8020000}"/>
    <cellStyle name="20% - Accent5 2 2 7 2" xfId="6605" xr:uid="{00000000-0005-0000-0000-0000A9020000}"/>
    <cellStyle name="20% - Accent5 2 2 7 2 2" xfId="15047" xr:uid="{51CEBFC6-2C1D-4859-9112-2887A28B358F}"/>
    <cellStyle name="20% - Accent5 2 2 7 3" xfId="10829" xr:uid="{53FA86B1-804F-4561-854C-84C47AFB9915}"/>
    <cellStyle name="20% - Accent5 2 2 8" xfId="4539" xr:uid="{00000000-0005-0000-0000-0000AA020000}"/>
    <cellStyle name="20% - Accent5 2 2 8 2" xfId="12981" xr:uid="{2A6BB236-6E85-4583-9182-50AED890B928}"/>
    <cellStyle name="20% - Accent5 2 2 9" xfId="8763" xr:uid="{97813B78-7507-4E63-AAB5-2A6FE2BA6976}"/>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8ED4AAE2-9541-491C-8468-0DD4B73FE36C}"/>
    <cellStyle name="20% - Accent5 2 3 2 2 3" xfId="11324" xr:uid="{4F53FFE6-200B-4B53-9A4C-EC56268823AA}"/>
    <cellStyle name="20% - Accent5 2 3 2 3" xfId="4955" xr:uid="{00000000-0005-0000-0000-0000AF020000}"/>
    <cellStyle name="20% - Accent5 2 3 2 3 2" xfId="13397" xr:uid="{A6D30722-186C-4C10-8378-E9197EE934F9}"/>
    <cellStyle name="20% - Accent5 2 3 2 4" xfId="9179" xr:uid="{3BEED0EE-8A4B-40BC-8E1C-4502D5F897B9}"/>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6333B2C7-8DED-4B96-BDB8-400A8CD757C5}"/>
    <cellStyle name="20% - Accent5 2 3 3 2 3" xfId="11737" xr:uid="{F8B0B769-188E-456D-8E45-6FB20ECF77BB}"/>
    <cellStyle name="20% - Accent5 2 3 3 3" xfId="5368" xr:uid="{00000000-0005-0000-0000-0000B3020000}"/>
    <cellStyle name="20% - Accent5 2 3 3 3 2" xfId="13810" xr:uid="{C870EBD6-BA6A-4C5C-B2FA-E7954D4050DF}"/>
    <cellStyle name="20% - Accent5 2 3 3 4" xfId="9592" xr:uid="{F4D04E6D-38B4-4C0E-B8B7-C1A55D3F6C86}"/>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8F47BCE9-ACBD-4016-8A1A-EB87787A89E7}"/>
    <cellStyle name="20% - Accent5 2 3 4 2 3" xfId="12150" xr:uid="{30FC3628-093A-49CC-A831-56C89DD72CFB}"/>
    <cellStyle name="20% - Accent5 2 3 4 3" xfId="5781" xr:uid="{00000000-0005-0000-0000-0000B7020000}"/>
    <cellStyle name="20% - Accent5 2 3 4 3 2" xfId="14223" xr:uid="{4A73E6FA-C4FB-45AB-9B1B-00606E29CE92}"/>
    <cellStyle name="20% - Accent5 2 3 4 4" xfId="10005" xr:uid="{4758A873-C87D-4E5D-909F-DB26D4FE83F7}"/>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61ECB385-6823-4947-B026-208AA4C2E9D4}"/>
    <cellStyle name="20% - Accent5 2 3 5 2 3" xfId="12563" xr:uid="{7936EE32-8E14-49A3-B7A0-3ABD90F71A39}"/>
    <cellStyle name="20% - Accent5 2 3 5 3" xfId="6194" xr:uid="{00000000-0005-0000-0000-0000BB020000}"/>
    <cellStyle name="20% - Accent5 2 3 5 3 2" xfId="14636" xr:uid="{46191AB2-3A29-4D38-B9C6-BDC8BCE43418}"/>
    <cellStyle name="20% - Accent5 2 3 5 4" xfId="10418" xr:uid="{59372E3D-5764-4642-B723-B93C2817A2B7}"/>
    <cellStyle name="20% - Accent5 2 3 6" xfId="2300" xr:uid="{00000000-0005-0000-0000-0000BC020000}"/>
    <cellStyle name="20% - Accent5 2 3 6 2" xfId="6607" xr:uid="{00000000-0005-0000-0000-0000BD020000}"/>
    <cellStyle name="20% - Accent5 2 3 6 2 2" xfId="15049" xr:uid="{67820908-0A85-4CD2-9D36-D99244840A2C}"/>
    <cellStyle name="20% - Accent5 2 3 6 3" xfId="10831" xr:uid="{259DDBAD-ABB4-4C45-A9D2-C273833CC163}"/>
    <cellStyle name="20% - Accent5 2 3 7" xfId="4541" xr:uid="{00000000-0005-0000-0000-0000BE020000}"/>
    <cellStyle name="20% - Accent5 2 3 7 2" xfId="12983" xr:uid="{9F5A8BC1-65AC-461B-AC7C-B35AE8E890D2}"/>
    <cellStyle name="20% - Accent5 2 3 8" xfId="8765" xr:uid="{ED8D984D-6810-43C0-95F5-B14E0DEE19CA}"/>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C8541941-A26B-4355-BC0F-0A70CB9F7E54}"/>
    <cellStyle name="20% - Accent5 2 4 2 3" xfId="11321" xr:uid="{37130C9B-36D2-4397-A5A7-F0E4EF17E41D}"/>
    <cellStyle name="20% - Accent5 2 4 3" xfId="4952" xr:uid="{00000000-0005-0000-0000-0000C2020000}"/>
    <cellStyle name="20% - Accent5 2 4 3 2" xfId="13394" xr:uid="{85BEF5C2-C08D-4ECE-B202-2F864A9F0CE2}"/>
    <cellStyle name="20% - Accent5 2 4 4" xfId="9176" xr:uid="{3AD9A309-BBC1-4180-A81C-EA867B522135}"/>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8F214716-6E12-41EB-B579-34D858FCDE7C}"/>
    <cellStyle name="20% - Accent5 2 5 2 3" xfId="11734" xr:uid="{7C47B397-A286-4A2F-966E-A6D0D8270DB3}"/>
    <cellStyle name="20% - Accent5 2 5 3" xfId="5365" xr:uid="{00000000-0005-0000-0000-0000C6020000}"/>
    <cellStyle name="20% - Accent5 2 5 3 2" xfId="13807" xr:uid="{3A087075-A8CC-4C5A-A308-85964B2F75E6}"/>
    <cellStyle name="20% - Accent5 2 5 4" xfId="9589" xr:uid="{5FFC38FC-1539-4D94-9B73-9196D6CB0DB1}"/>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063184EF-2049-4A20-A51A-B90F96FD5972}"/>
    <cellStyle name="20% - Accent5 2 6 2 3" xfId="12147" xr:uid="{057079A3-95AF-4457-AF4C-3770FCC99372}"/>
    <cellStyle name="20% - Accent5 2 6 3" xfId="5778" xr:uid="{00000000-0005-0000-0000-0000CA020000}"/>
    <cellStyle name="20% - Accent5 2 6 3 2" xfId="14220" xr:uid="{1F450A6C-C774-4C21-9F58-31B51172A7B5}"/>
    <cellStyle name="20% - Accent5 2 6 4" xfId="10002" xr:uid="{F6B6E071-0698-4A29-89C2-07FAB884F080}"/>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8DD127E6-5081-42B1-AF39-5AB3789BC8CD}"/>
    <cellStyle name="20% - Accent5 2 7 2 3" xfId="12560" xr:uid="{FE4FC993-FB42-4FEA-A8B7-CC25155A571A}"/>
    <cellStyle name="20% - Accent5 2 7 3" xfId="6191" xr:uid="{00000000-0005-0000-0000-0000CE020000}"/>
    <cellStyle name="20% - Accent5 2 7 3 2" xfId="14633" xr:uid="{857201B7-548D-48C3-87D0-2D4073CA9C47}"/>
    <cellStyle name="20% - Accent5 2 7 4" xfId="10415" xr:uid="{474C46F7-770E-417B-AB0E-C6DAD57629F5}"/>
    <cellStyle name="20% - Accent5 2 8" xfId="2297" xr:uid="{00000000-0005-0000-0000-0000CF020000}"/>
    <cellStyle name="20% - Accent5 2 8 2" xfId="6604" xr:uid="{00000000-0005-0000-0000-0000D0020000}"/>
    <cellStyle name="20% - Accent5 2 8 2 2" xfId="15046" xr:uid="{0A97DCC1-E320-4A25-9E42-BD337EF3E9EE}"/>
    <cellStyle name="20% - Accent5 2 8 3" xfId="10828" xr:uid="{EA5FC2FE-EBE1-4F4F-B7CE-EA01AB97EB17}"/>
    <cellStyle name="20% - Accent5 2 9" xfId="4538" xr:uid="{00000000-0005-0000-0000-0000D1020000}"/>
    <cellStyle name="20% - Accent5 2 9 2" xfId="12980" xr:uid="{F1CAB2DD-A9F7-4BB1-ADA9-6637F8F4FDB3}"/>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D51E737B-1658-4D63-A4C6-886439F4E7D1}"/>
    <cellStyle name="20% - Accent5 3 2 2 2 3" xfId="11326" xr:uid="{049E0CBA-8CBC-41B7-91DB-C6B7F734B2B2}"/>
    <cellStyle name="20% - Accent5 3 2 2 3" xfId="4957" xr:uid="{00000000-0005-0000-0000-0000D7020000}"/>
    <cellStyle name="20% - Accent5 3 2 2 3 2" xfId="13399" xr:uid="{F76EFF6F-4EE3-40D7-83DB-3C6BBAF22996}"/>
    <cellStyle name="20% - Accent5 3 2 2 4" xfId="9181" xr:uid="{201EB28E-C77D-4568-A23E-AABD56DCBC5F}"/>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773F9930-2B1A-4DE0-9C02-393E8F1CCD80}"/>
    <cellStyle name="20% - Accent5 3 2 3 2 3" xfId="11739" xr:uid="{A8A43D54-EEFD-4237-B903-2A60EDDAC24B}"/>
    <cellStyle name="20% - Accent5 3 2 3 3" xfId="5370" xr:uid="{00000000-0005-0000-0000-0000DB020000}"/>
    <cellStyle name="20% - Accent5 3 2 3 3 2" xfId="13812" xr:uid="{C8B111DA-370F-4386-AAA5-6BB00D31733A}"/>
    <cellStyle name="20% - Accent5 3 2 3 4" xfId="9594" xr:uid="{BDC29867-4F9C-41DD-BC66-AFEAF5609DB2}"/>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CDE8FD66-D81C-48FE-B859-B94E6665CD25}"/>
    <cellStyle name="20% - Accent5 3 2 4 2 3" xfId="12152" xr:uid="{3A263DD9-2AA7-43B3-A4B0-ADD279BE6698}"/>
    <cellStyle name="20% - Accent5 3 2 4 3" xfId="5783" xr:uid="{00000000-0005-0000-0000-0000DF020000}"/>
    <cellStyle name="20% - Accent5 3 2 4 3 2" xfId="14225" xr:uid="{37D32360-F94A-47EC-BB9E-A8F0ABA581D7}"/>
    <cellStyle name="20% - Accent5 3 2 4 4" xfId="10007" xr:uid="{7E0A096F-3C34-4BB1-8C7B-8ADFC28179E5}"/>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73AF1535-25CB-4E3B-80EF-67D0B8B61DBF}"/>
    <cellStyle name="20% - Accent5 3 2 5 2 3" xfId="12565" xr:uid="{F5C9E3BF-5560-4545-A225-40D4D2C5BA99}"/>
    <cellStyle name="20% - Accent5 3 2 5 3" xfId="6196" xr:uid="{00000000-0005-0000-0000-0000E3020000}"/>
    <cellStyle name="20% - Accent5 3 2 5 3 2" xfId="14638" xr:uid="{10E885C7-FC3B-4697-9B0E-BAB751DAD3D5}"/>
    <cellStyle name="20% - Accent5 3 2 5 4" xfId="10420" xr:uid="{DDFB84CA-A385-42B3-AA03-BEC0F8F82224}"/>
    <cellStyle name="20% - Accent5 3 2 6" xfId="2302" xr:uid="{00000000-0005-0000-0000-0000E4020000}"/>
    <cellStyle name="20% - Accent5 3 2 6 2" xfId="6609" xr:uid="{00000000-0005-0000-0000-0000E5020000}"/>
    <cellStyle name="20% - Accent5 3 2 6 2 2" xfId="15051" xr:uid="{688854B0-86F1-4C1D-97F3-29EF280B8344}"/>
    <cellStyle name="20% - Accent5 3 2 6 3" xfId="10833" xr:uid="{6D9B9071-3C26-4543-97E5-DB6586E33476}"/>
    <cellStyle name="20% - Accent5 3 2 7" xfId="4543" xr:uid="{00000000-0005-0000-0000-0000E6020000}"/>
    <cellStyle name="20% - Accent5 3 2 7 2" xfId="12985" xr:uid="{CFA9E5FC-1582-4086-BC01-5E56FF727FF8}"/>
    <cellStyle name="20% - Accent5 3 2 8" xfId="8767" xr:uid="{28AA4FB7-B11C-4AFC-A525-85C718FB856B}"/>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826BFAC9-FBF6-418C-A837-6F2F86247C5C}"/>
    <cellStyle name="20% - Accent5 3 3 2 3" xfId="11325" xr:uid="{1CF2BEEB-DFC6-4413-AA8B-BE9E8F801C57}"/>
    <cellStyle name="20% - Accent5 3 3 3" xfId="4956" xr:uid="{00000000-0005-0000-0000-0000EA020000}"/>
    <cellStyle name="20% - Accent5 3 3 3 2" xfId="13398" xr:uid="{3C05CAA6-FBD9-4CAF-8A12-479657A9C101}"/>
    <cellStyle name="20% - Accent5 3 3 4" xfId="9180" xr:uid="{AAC97CED-9A8B-49C6-A21B-3FE2CF898A61}"/>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1A173730-D48D-446A-AA80-4EC7C3C75BE7}"/>
    <cellStyle name="20% - Accent5 3 4 2 3" xfId="11738" xr:uid="{30EEB9DE-53A3-4843-B4A0-8204A44CF094}"/>
    <cellStyle name="20% - Accent5 3 4 3" xfId="5369" xr:uid="{00000000-0005-0000-0000-0000EE020000}"/>
    <cellStyle name="20% - Accent5 3 4 3 2" xfId="13811" xr:uid="{E5A0BC49-76B1-41BB-9971-1DD3D9D2B633}"/>
    <cellStyle name="20% - Accent5 3 4 4" xfId="9593" xr:uid="{712AE1BA-DAFE-45B2-89B7-BA7EEB22914F}"/>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8AB6D360-7C54-4FC7-A403-8E46AA7DEEF8}"/>
    <cellStyle name="20% - Accent5 3 5 2 3" xfId="12151" xr:uid="{B05CCCA2-7F8A-428A-9D65-3651ECF03731}"/>
    <cellStyle name="20% - Accent5 3 5 3" xfId="5782" xr:uid="{00000000-0005-0000-0000-0000F2020000}"/>
    <cellStyle name="20% - Accent5 3 5 3 2" xfId="14224" xr:uid="{6C066EC9-16DD-46FE-A0AE-D2DF201E73F8}"/>
    <cellStyle name="20% - Accent5 3 5 4" xfId="10006" xr:uid="{990A8694-EFE1-4386-AB52-F18C1E266667}"/>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8CA3CB7C-F3A3-4444-80D0-19DD335B45AA}"/>
    <cellStyle name="20% - Accent5 3 6 2 3" xfId="12564" xr:uid="{49F0F641-C55E-4847-8DC7-65DA04382816}"/>
    <cellStyle name="20% - Accent5 3 6 3" xfId="6195" xr:uid="{00000000-0005-0000-0000-0000F6020000}"/>
    <cellStyle name="20% - Accent5 3 6 3 2" xfId="14637" xr:uid="{D4F2A20C-24FE-45FF-BE99-DFE05B3D3E71}"/>
    <cellStyle name="20% - Accent5 3 6 4" xfId="10419" xr:uid="{DE120AE1-E3A4-4A79-87CA-C8EACE804336}"/>
    <cellStyle name="20% - Accent5 3 7" xfId="2301" xr:uid="{00000000-0005-0000-0000-0000F7020000}"/>
    <cellStyle name="20% - Accent5 3 7 2" xfId="6608" xr:uid="{00000000-0005-0000-0000-0000F8020000}"/>
    <cellStyle name="20% - Accent5 3 7 2 2" xfId="15050" xr:uid="{1FDC0BC2-1900-45A9-9453-7BA270F13CB1}"/>
    <cellStyle name="20% - Accent5 3 7 3" xfId="10832" xr:uid="{8D6A3F00-160E-47FC-974B-9FEFD76D62EA}"/>
    <cellStyle name="20% - Accent5 3 8" xfId="4542" xr:uid="{00000000-0005-0000-0000-0000F9020000}"/>
    <cellStyle name="20% - Accent5 3 8 2" xfId="12984" xr:uid="{FD6EC4EF-F6C8-4CF0-9584-7F346DF32382}"/>
    <cellStyle name="20% - Accent5 3 9" xfId="8766" xr:uid="{F31D9CA9-7937-476F-A99A-F0DD0A83D2FD}"/>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7FA3FEFC-E1B2-4E62-B4AE-B6EB3EDEF94B}"/>
    <cellStyle name="20% - Accent5 4 2 2 3" xfId="11327" xr:uid="{D8ECA79A-5676-46E9-A0CD-28F22EC15F53}"/>
    <cellStyle name="20% - Accent5 4 2 3" xfId="4958" xr:uid="{00000000-0005-0000-0000-0000FE020000}"/>
    <cellStyle name="20% - Accent5 4 2 3 2" xfId="13400" xr:uid="{EC4FC9C2-C46E-4869-8094-1221E7B87AA4}"/>
    <cellStyle name="20% - Accent5 4 2 4" xfId="9182" xr:uid="{6DDDB6D1-73CC-42E3-8187-3597D457A2DE}"/>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16F419E7-C580-4309-955F-1C52AFF64979}"/>
    <cellStyle name="20% - Accent5 4 3 2 3" xfId="11740" xr:uid="{CB4654D1-6F80-4E6A-9154-F5B2F7782CF7}"/>
    <cellStyle name="20% - Accent5 4 3 3" xfId="5371" xr:uid="{00000000-0005-0000-0000-000002030000}"/>
    <cellStyle name="20% - Accent5 4 3 3 2" xfId="13813" xr:uid="{A4D74498-7EFE-4069-9430-3A4AEBDF1984}"/>
    <cellStyle name="20% - Accent5 4 3 4" xfId="9595" xr:uid="{8D9C4255-C98E-4E44-87A4-C45E06E30862}"/>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9F9D3C11-4E48-40DE-A63B-550917108F9B}"/>
    <cellStyle name="20% - Accent5 4 4 2 3" xfId="12153" xr:uid="{BA85F89F-13E0-4120-8C6C-07A0C2931C39}"/>
    <cellStyle name="20% - Accent5 4 4 3" xfId="5784" xr:uid="{00000000-0005-0000-0000-000006030000}"/>
    <cellStyle name="20% - Accent5 4 4 3 2" xfId="14226" xr:uid="{51C43A9C-8171-4974-8310-1F6A79E30902}"/>
    <cellStyle name="20% - Accent5 4 4 4" xfId="10008" xr:uid="{766B0762-D8C8-415F-B8E8-24D83157350B}"/>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E577E077-1A05-4ADE-BF4C-3A3AD18F1E5B}"/>
    <cellStyle name="20% - Accent5 4 5 2 3" xfId="12566" xr:uid="{9B283251-0512-4978-825F-0EF73C8772CD}"/>
    <cellStyle name="20% - Accent5 4 5 3" xfId="6197" xr:uid="{00000000-0005-0000-0000-00000A030000}"/>
    <cellStyle name="20% - Accent5 4 5 3 2" xfId="14639" xr:uid="{2BF38E29-F8EE-4C22-8B97-F6793E69A101}"/>
    <cellStyle name="20% - Accent5 4 5 4" xfId="10421" xr:uid="{39F5C501-9E1F-47D3-BBC8-47A3C9D5F049}"/>
    <cellStyle name="20% - Accent5 4 6" xfId="2303" xr:uid="{00000000-0005-0000-0000-00000B030000}"/>
    <cellStyle name="20% - Accent5 4 6 2" xfId="6610" xr:uid="{00000000-0005-0000-0000-00000C030000}"/>
    <cellStyle name="20% - Accent5 4 6 2 2" xfId="15052" xr:uid="{BDA4EB86-0A1A-4473-A421-39CE61F80656}"/>
    <cellStyle name="20% - Accent5 4 6 3" xfId="10834" xr:uid="{3F7AF15E-2FC1-4141-B73E-E4AEE3F6C387}"/>
    <cellStyle name="20% - Accent5 4 7" xfId="4544" xr:uid="{00000000-0005-0000-0000-00000D030000}"/>
    <cellStyle name="20% - Accent5 4 7 2" xfId="12986" xr:uid="{374A5142-5B8B-4911-9654-A6BCB37026E1}"/>
    <cellStyle name="20% - Accent5 4 8" xfId="8768" xr:uid="{9156A860-020F-4A54-BD8D-C59A68257002}"/>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C791D4C2-FB4B-453C-869A-CBD07F66EE74}"/>
    <cellStyle name="20% - Accent5 5 2 3" xfId="11320" xr:uid="{703F9D6E-54A6-4E19-958B-BC357B0B9E72}"/>
    <cellStyle name="20% - Accent5 5 3" xfId="4951" xr:uid="{00000000-0005-0000-0000-000011030000}"/>
    <cellStyle name="20% - Accent5 5 3 2" xfId="13393" xr:uid="{8DD06C61-0A71-4F1C-B835-8EDF407F6FA2}"/>
    <cellStyle name="20% - Accent5 5 4" xfId="9175" xr:uid="{5BE26343-7D6D-490B-8441-BCFA1B7179A4}"/>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CABC479F-1F5E-4A1B-8E9D-E1DF5ADC29B9}"/>
    <cellStyle name="20% - Accent5 6 2 3" xfId="11733" xr:uid="{20F4C1D9-3D66-4F98-A424-ED55C56E43B0}"/>
    <cellStyle name="20% - Accent5 6 3" xfId="5364" xr:uid="{00000000-0005-0000-0000-000015030000}"/>
    <cellStyle name="20% - Accent5 6 3 2" xfId="13806" xr:uid="{2C62F8E7-C7DB-4708-B0C9-DCD8560327CE}"/>
    <cellStyle name="20% - Accent5 6 4" xfId="9588" xr:uid="{F8CED15E-1332-4EB8-9BC7-3B3840D15E73}"/>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BAB09090-AE3A-4836-BDC1-475AB8322ADD}"/>
    <cellStyle name="20% - Accent5 7 2 3" xfId="12146" xr:uid="{3FB2DB4F-A596-4055-B0F6-2338000A8746}"/>
    <cellStyle name="20% - Accent5 7 3" xfId="5777" xr:uid="{00000000-0005-0000-0000-000019030000}"/>
    <cellStyle name="20% - Accent5 7 3 2" xfId="14219" xr:uid="{65A3FE78-738C-4E24-B067-5029B9025EF1}"/>
    <cellStyle name="20% - Accent5 7 4" xfId="10001" xr:uid="{455BFCCA-A260-4DA0-B310-26F0513754C4}"/>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95533A0B-35AC-4E54-BB63-2AF09844E528}"/>
    <cellStyle name="20% - Accent5 8 2 3" xfId="12559" xr:uid="{1C54A62F-40E1-457E-B024-DDD88BC821DE}"/>
    <cellStyle name="20% - Accent5 8 3" xfId="6190" xr:uid="{00000000-0005-0000-0000-00001D030000}"/>
    <cellStyle name="20% - Accent5 8 3 2" xfId="14632" xr:uid="{B39E6147-349D-42BA-BC58-234956F32E7D}"/>
    <cellStyle name="20% - Accent5 8 4" xfId="10414" xr:uid="{18AEBC76-4988-4136-ACB0-9DE24C93BABA}"/>
    <cellStyle name="20% - Accent5 9" xfId="2296" xr:uid="{00000000-0005-0000-0000-00001E030000}"/>
    <cellStyle name="20% - Accent5 9 2" xfId="6603" xr:uid="{00000000-0005-0000-0000-00001F030000}"/>
    <cellStyle name="20% - Accent5 9 2 2" xfId="15045" xr:uid="{4DAB9996-F170-48E8-9A3B-59453B46A49B}"/>
    <cellStyle name="20% - Accent5 9 3" xfId="10827" xr:uid="{C179463E-B76A-41AB-AA95-C73BC99C299D}"/>
    <cellStyle name="20% - Accent6" xfId="41" builtinId="50" customBuiltin="1"/>
    <cellStyle name="20% - Accent6 10" xfId="4545" xr:uid="{00000000-0005-0000-0000-000021030000}"/>
    <cellStyle name="20% - Accent6 10 2" xfId="12987" xr:uid="{BD77A106-A68D-4E70-926F-1A6FBA50A3A2}"/>
    <cellStyle name="20% - Accent6 11" xfId="8769" xr:uid="{DB778E56-BEF1-4606-9D69-CC7E776B85D5}"/>
    <cellStyle name="20% - Accent6 2" xfId="42" xr:uid="{00000000-0005-0000-0000-000022030000}"/>
    <cellStyle name="20% - Accent6 2 10" xfId="8770" xr:uid="{48692AD5-EB72-4E0D-AAD9-EB59BC74902A}"/>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C09CE883-0715-4A47-8977-F36515AABE44}"/>
    <cellStyle name="20% - Accent6 2 2 2 2 2 3" xfId="11331" xr:uid="{04221950-DD8B-4486-94EE-73D64D7D4338}"/>
    <cellStyle name="20% - Accent6 2 2 2 2 3" xfId="4962" xr:uid="{00000000-0005-0000-0000-000028030000}"/>
    <cellStyle name="20% - Accent6 2 2 2 2 3 2" xfId="13404" xr:uid="{3CA1FCC4-63AE-4DEF-BF64-65EF6FEB8A7A}"/>
    <cellStyle name="20% - Accent6 2 2 2 2 4" xfId="9186" xr:uid="{7A7AED41-453B-4EBA-88D3-03F6F0989E0A}"/>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270A9287-7BB6-432B-B844-95C90CD2C261}"/>
    <cellStyle name="20% - Accent6 2 2 2 3 2 3" xfId="11744" xr:uid="{EB13C481-FFE7-4528-AD1B-2FA2A2995D6C}"/>
    <cellStyle name="20% - Accent6 2 2 2 3 3" xfId="5375" xr:uid="{00000000-0005-0000-0000-00002C030000}"/>
    <cellStyle name="20% - Accent6 2 2 2 3 3 2" xfId="13817" xr:uid="{3AFC5FBB-0EEE-4EA2-93C3-4EFE3E16A1DA}"/>
    <cellStyle name="20% - Accent6 2 2 2 3 4" xfId="9599" xr:uid="{372C9612-1531-4C53-BE13-2BB369654C6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69BBD897-84AB-4CBC-9B98-53AB36EF7AB5}"/>
    <cellStyle name="20% - Accent6 2 2 2 4 2 3" xfId="12157" xr:uid="{CC14ED94-E19E-4980-A2B8-9B3E2122AEAF}"/>
    <cellStyle name="20% - Accent6 2 2 2 4 3" xfId="5788" xr:uid="{00000000-0005-0000-0000-000030030000}"/>
    <cellStyle name="20% - Accent6 2 2 2 4 3 2" xfId="14230" xr:uid="{50FA1128-BB57-4F81-8CA5-0C2796C42BBB}"/>
    <cellStyle name="20% - Accent6 2 2 2 4 4" xfId="10012" xr:uid="{09BF2AA4-077B-4EB6-BF4A-B47A14342B5D}"/>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48B4008C-C0E1-4A2B-BC16-7D4B98199082}"/>
    <cellStyle name="20% - Accent6 2 2 2 5 2 3" xfId="12570" xr:uid="{210567A7-7A11-40CD-AA03-C8E6DCBE1227}"/>
    <cellStyle name="20% - Accent6 2 2 2 5 3" xfId="6201" xr:uid="{00000000-0005-0000-0000-000034030000}"/>
    <cellStyle name="20% - Accent6 2 2 2 5 3 2" xfId="14643" xr:uid="{FA4BF52C-0A56-44F9-8A70-E6002931D887}"/>
    <cellStyle name="20% - Accent6 2 2 2 5 4" xfId="10425" xr:uid="{B94D2EC9-12C4-4A0D-BC2B-51CBD04D83D8}"/>
    <cellStyle name="20% - Accent6 2 2 2 6" xfId="2307" xr:uid="{00000000-0005-0000-0000-000035030000}"/>
    <cellStyle name="20% - Accent6 2 2 2 6 2" xfId="6614" xr:uid="{00000000-0005-0000-0000-000036030000}"/>
    <cellStyle name="20% - Accent6 2 2 2 6 2 2" xfId="15056" xr:uid="{6C9AB30F-763C-422A-BC15-1A5F10B0CAA2}"/>
    <cellStyle name="20% - Accent6 2 2 2 6 3" xfId="10838" xr:uid="{89893C20-0064-47B0-BF7F-6EFC9FB21264}"/>
    <cellStyle name="20% - Accent6 2 2 2 7" xfId="4548" xr:uid="{00000000-0005-0000-0000-000037030000}"/>
    <cellStyle name="20% - Accent6 2 2 2 7 2" xfId="12990" xr:uid="{4D9DF8B9-3E52-404D-9D48-48A81C264E15}"/>
    <cellStyle name="20% - Accent6 2 2 2 8" xfId="8772" xr:uid="{3B85555F-AB4F-47D7-84EC-BEE8A70C68E2}"/>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97E9B2F5-47FE-4DDA-84F5-CA2DF2EDB534}"/>
    <cellStyle name="20% - Accent6 2 2 3 2 3" xfId="11330" xr:uid="{7D83B315-08B9-4D39-965E-993265B969AE}"/>
    <cellStyle name="20% - Accent6 2 2 3 3" xfId="4961" xr:uid="{00000000-0005-0000-0000-00003B030000}"/>
    <cellStyle name="20% - Accent6 2 2 3 3 2" xfId="13403" xr:uid="{F937A342-EFEF-4273-94CE-0505921E7913}"/>
    <cellStyle name="20% - Accent6 2 2 3 4" xfId="9185" xr:uid="{7D963200-333C-429D-884C-DDA44F8EC9AD}"/>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2BBAB3B5-8054-4DF8-932C-C500924D4161}"/>
    <cellStyle name="20% - Accent6 2 2 4 2 3" xfId="11743" xr:uid="{71F7D9B1-5A2D-48E2-92BB-78A54986626B}"/>
    <cellStyle name="20% - Accent6 2 2 4 3" xfId="5374" xr:uid="{00000000-0005-0000-0000-00003F030000}"/>
    <cellStyle name="20% - Accent6 2 2 4 3 2" xfId="13816" xr:uid="{33CF3BF7-CE7D-4B71-AE7E-2D25B97AC713}"/>
    <cellStyle name="20% - Accent6 2 2 4 4" xfId="9598" xr:uid="{23CF2FF9-84EC-4741-A765-1B244EDD8BA2}"/>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BC236688-B2EC-4D46-A741-FF0B708B6F71}"/>
    <cellStyle name="20% - Accent6 2 2 5 2 3" xfId="12156" xr:uid="{663591FD-0BBB-44EE-8A94-1F521B433E96}"/>
    <cellStyle name="20% - Accent6 2 2 5 3" xfId="5787" xr:uid="{00000000-0005-0000-0000-000043030000}"/>
    <cellStyle name="20% - Accent6 2 2 5 3 2" xfId="14229" xr:uid="{6A9D6E82-3CBB-4D82-971B-3F278F34C362}"/>
    <cellStyle name="20% - Accent6 2 2 5 4" xfId="10011" xr:uid="{BB8A3C16-0B6F-4850-B33B-018A39FC905A}"/>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622C1A18-50EA-41EA-A3E3-33E2CD3669AE}"/>
    <cellStyle name="20% - Accent6 2 2 6 2 3" xfId="12569" xr:uid="{BB92E818-FDA4-412C-A836-C13362F2F8BA}"/>
    <cellStyle name="20% - Accent6 2 2 6 3" xfId="6200" xr:uid="{00000000-0005-0000-0000-000047030000}"/>
    <cellStyle name="20% - Accent6 2 2 6 3 2" xfId="14642" xr:uid="{67D98CEA-86D4-43CF-913C-1E4173BF54B6}"/>
    <cellStyle name="20% - Accent6 2 2 6 4" xfId="10424" xr:uid="{DE627A60-08F7-473D-9981-12EBBDC2F069}"/>
    <cellStyle name="20% - Accent6 2 2 7" xfId="2306" xr:uid="{00000000-0005-0000-0000-000048030000}"/>
    <cellStyle name="20% - Accent6 2 2 7 2" xfId="6613" xr:uid="{00000000-0005-0000-0000-000049030000}"/>
    <cellStyle name="20% - Accent6 2 2 7 2 2" xfId="15055" xr:uid="{6805C23B-B0FB-4DE7-877B-6A77B08483AA}"/>
    <cellStyle name="20% - Accent6 2 2 7 3" xfId="10837" xr:uid="{C815352D-B830-4222-B48C-B4191101EA55}"/>
    <cellStyle name="20% - Accent6 2 2 8" xfId="4547" xr:uid="{00000000-0005-0000-0000-00004A030000}"/>
    <cellStyle name="20% - Accent6 2 2 8 2" xfId="12989" xr:uid="{73CE496D-8293-4E61-8DC0-200B26824BDE}"/>
    <cellStyle name="20% - Accent6 2 2 9" xfId="8771" xr:uid="{7649B2AB-B638-4086-9702-DFA0D0DCC6B9}"/>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BCD7F453-E67B-4380-A24B-D3465F1941F9}"/>
    <cellStyle name="20% - Accent6 2 3 2 2 3" xfId="11332" xr:uid="{E17DA0F4-727E-42A9-9939-E0C0796EDA67}"/>
    <cellStyle name="20% - Accent6 2 3 2 3" xfId="4963" xr:uid="{00000000-0005-0000-0000-00004F030000}"/>
    <cellStyle name="20% - Accent6 2 3 2 3 2" xfId="13405" xr:uid="{EAFAAE48-CF96-4120-ABBC-BC445797AB41}"/>
    <cellStyle name="20% - Accent6 2 3 2 4" xfId="9187" xr:uid="{28BC2E9E-88E5-46D0-9852-0E8EA4CF006C}"/>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DC44CD97-B4CD-4736-A51F-BB3A10F7ED7F}"/>
    <cellStyle name="20% - Accent6 2 3 3 2 3" xfId="11745" xr:uid="{A88FE404-4A7D-4019-A7E4-3F59FB5A0DC7}"/>
    <cellStyle name="20% - Accent6 2 3 3 3" xfId="5376" xr:uid="{00000000-0005-0000-0000-000053030000}"/>
    <cellStyle name="20% - Accent6 2 3 3 3 2" xfId="13818" xr:uid="{93CF14C2-45FC-474E-B8B5-CF07E3104C99}"/>
    <cellStyle name="20% - Accent6 2 3 3 4" xfId="9600" xr:uid="{0881C7CB-49A3-4829-B8C1-06486AFF9784}"/>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29B85326-9323-4DE2-B55F-938FA46A9555}"/>
    <cellStyle name="20% - Accent6 2 3 4 2 3" xfId="12158" xr:uid="{ACE38F9D-FB8A-4CAA-B2B6-1000428A076C}"/>
    <cellStyle name="20% - Accent6 2 3 4 3" xfId="5789" xr:uid="{00000000-0005-0000-0000-000057030000}"/>
    <cellStyle name="20% - Accent6 2 3 4 3 2" xfId="14231" xr:uid="{BF2E4945-8751-413D-8EFC-20181F5F4948}"/>
    <cellStyle name="20% - Accent6 2 3 4 4" xfId="10013" xr:uid="{1CCFEEF2-EA2D-441A-83D2-E7CB076DD7AF}"/>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357CCB7D-C3B6-45FB-80AD-7CEDCB8F61EE}"/>
    <cellStyle name="20% - Accent6 2 3 5 2 3" xfId="12571" xr:uid="{FDD14279-5DBA-48EE-8305-ABD333F15D5A}"/>
    <cellStyle name="20% - Accent6 2 3 5 3" xfId="6202" xr:uid="{00000000-0005-0000-0000-00005B030000}"/>
    <cellStyle name="20% - Accent6 2 3 5 3 2" xfId="14644" xr:uid="{A0AAB993-1226-4318-B3F0-AB8DD3BAEA9F}"/>
    <cellStyle name="20% - Accent6 2 3 5 4" xfId="10426" xr:uid="{561D8160-9848-44E2-85D2-E61DA1A5B538}"/>
    <cellStyle name="20% - Accent6 2 3 6" xfId="2308" xr:uid="{00000000-0005-0000-0000-00005C030000}"/>
    <cellStyle name="20% - Accent6 2 3 6 2" xfId="6615" xr:uid="{00000000-0005-0000-0000-00005D030000}"/>
    <cellStyle name="20% - Accent6 2 3 6 2 2" xfId="15057" xr:uid="{2975E290-31F7-4550-8E98-6C1EB32F82B6}"/>
    <cellStyle name="20% - Accent6 2 3 6 3" xfId="10839" xr:uid="{903831C0-B55B-4625-80EC-FF58E7E7FDF0}"/>
    <cellStyle name="20% - Accent6 2 3 7" xfId="4549" xr:uid="{00000000-0005-0000-0000-00005E030000}"/>
    <cellStyle name="20% - Accent6 2 3 7 2" xfId="12991" xr:uid="{82AF59BC-4515-46C3-A872-399F04D01FC8}"/>
    <cellStyle name="20% - Accent6 2 3 8" xfId="8773" xr:uid="{352B324D-7572-40AD-B7BD-AF51EE2D274C}"/>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D68649C6-E029-412B-B760-4CAAE0115E7D}"/>
    <cellStyle name="20% - Accent6 2 4 2 3" xfId="11329" xr:uid="{2D26D949-FD86-433E-B7AB-AD9080EEC8A9}"/>
    <cellStyle name="20% - Accent6 2 4 3" xfId="4960" xr:uid="{00000000-0005-0000-0000-000062030000}"/>
    <cellStyle name="20% - Accent6 2 4 3 2" xfId="13402" xr:uid="{AEE4FC6C-35C4-42B8-BADB-D6A68C018317}"/>
    <cellStyle name="20% - Accent6 2 4 4" xfId="9184" xr:uid="{FF48DABC-14D5-4628-982D-AEA880369547}"/>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C7B03AFD-C1C2-4E2C-894F-FC6A39949CAB}"/>
    <cellStyle name="20% - Accent6 2 5 2 3" xfId="11742" xr:uid="{3B0BE6FE-5B54-4E0A-AB06-780F7617FA23}"/>
    <cellStyle name="20% - Accent6 2 5 3" xfId="5373" xr:uid="{00000000-0005-0000-0000-000066030000}"/>
    <cellStyle name="20% - Accent6 2 5 3 2" xfId="13815" xr:uid="{0462DB85-B079-4BB1-9594-D1479B8430A3}"/>
    <cellStyle name="20% - Accent6 2 5 4" xfId="9597" xr:uid="{FD04DE63-4D59-4C45-B260-C656731265C6}"/>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193D9C10-84F9-406D-82E1-AB6536DF2509}"/>
    <cellStyle name="20% - Accent6 2 6 2 3" xfId="12155" xr:uid="{0A15B39B-0B78-4E5F-9B1C-82AF6AB25D70}"/>
    <cellStyle name="20% - Accent6 2 6 3" xfId="5786" xr:uid="{00000000-0005-0000-0000-00006A030000}"/>
    <cellStyle name="20% - Accent6 2 6 3 2" xfId="14228" xr:uid="{3A2DBC1E-F0D6-499C-9776-3C093C7BE373}"/>
    <cellStyle name="20% - Accent6 2 6 4" xfId="10010" xr:uid="{C8144808-36F5-467C-A6BA-9CD3CAF865EF}"/>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60C4E671-1F6A-45CC-A0AC-E8CF198F1F9B}"/>
    <cellStyle name="20% - Accent6 2 7 2 3" xfId="12568" xr:uid="{BA44FFED-01E5-4610-A2D8-C9C03C1EEC2B}"/>
    <cellStyle name="20% - Accent6 2 7 3" xfId="6199" xr:uid="{00000000-0005-0000-0000-00006E030000}"/>
    <cellStyle name="20% - Accent6 2 7 3 2" xfId="14641" xr:uid="{C4DA8730-9D31-4A6F-80B3-A22C4CAAC4B4}"/>
    <cellStyle name="20% - Accent6 2 7 4" xfId="10423" xr:uid="{A781B808-99ED-41FD-9F11-EE36B04A78E7}"/>
    <cellStyle name="20% - Accent6 2 8" xfId="2305" xr:uid="{00000000-0005-0000-0000-00006F030000}"/>
    <cellStyle name="20% - Accent6 2 8 2" xfId="6612" xr:uid="{00000000-0005-0000-0000-000070030000}"/>
    <cellStyle name="20% - Accent6 2 8 2 2" xfId="15054" xr:uid="{CAC955B0-3AD3-461C-B92A-172BD041F213}"/>
    <cellStyle name="20% - Accent6 2 8 3" xfId="10836" xr:uid="{02B70A2E-2317-48A9-96AE-8D1B0A84E109}"/>
    <cellStyle name="20% - Accent6 2 9" xfId="4546" xr:uid="{00000000-0005-0000-0000-000071030000}"/>
    <cellStyle name="20% - Accent6 2 9 2" xfId="12988" xr:uid="{CB273FA7-3CB3-467E-9397-A45B708AD9EB}"/>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147C9DA7-0B45-452E-BEA0-D215CA13544A}"/>
    <cellStyle name="20% - Accent6 3 2 2 2 3" xfId="11334" xr:uid="{77FFCC76-33B0-41D2-B058-72765B3F0777}"/>
    <cellStyle name="20% - Accent6 3 2 2 3" xfId="4965" xr:uid="{00000000-0005-0000-0000-000077030000}"/>
    <cellStyle name="20% - Accent6 3 2 2 3 2" xfId="13407" xr:uid="{EDBBC617-5B83-43B5-AF1D-528A23B2B5DC}"/>
    <cellStyle name="20% - Accent6 3 2 2 4" xfId="9189" xr:uid="{2FADBB04-1A17-4BAF-B284-6BF11FE49BE8}"/>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22212FDD-ACB9-40A2-A6A7-0E8958692B08}"/>
    <cellStyle name="20% - Accent6 3 2 3 2 3" xfId="11747" xr:uid="{55660881-F05B-4219-8948-95F5347B8D59}"/>
    <cellStyle name="20% - Accent6 3 2 3 3" xfId="5378" xr:uid="{00000000-0005-0000-0000-00007B030000}"/>
    <cellStyle name="20% - Accent6 3 2 3 3 2" xfId="13820" xr:uid="{34620387-15ED-40E6-9305-EFA32518F608}"/>
    <cellStyle name="20% - Accent6 3 2 3 4" xfId="9602" xr:uid="{C0A9BEDB-E02B-4DB7-8FD9-AB56AB00AA31}"/>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BE39C988-F57A-499B-84BE-8002A77466F7}"/>
    <cellStyle name="20% - Accent6 3 2 4 2 3" xfId="12160" xr:uid="{D47E2349-977F-4010-AA77-F0D7133FC453}"/>
    <cellStyle name="20% - Accent6 3 2 4 3" xfId="5791" xr:uid="{00000000-0005-0000-0000-00007F030000}"/>
    <cellStyle name="20% - Accent6 3 2 4 3 2" xfId="14233" xr:uid="{3EEF3517-3E42-42F8-8A03-7A84AF90E4F4}"/>
    <cellStyle name="20% - Accent6 3 2 4 4" xfId="10015" xr:uid="{990D341D-C3E4-4616-9EA0-8366445E9897}"/>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7AEF5AF9-23A2-4AF1-867C-CA83C00083C2}"/>
    <cellStyle name="20% - Accent6 3 2 5 2 3" xfId="12573" xr:uid="{A98B1010-1547-4744-8BFD-A2FC3325826D}"/>
    <cellStyle name="20% - Accent6 3 2 5 3" xfId="6204" xr:uid="{00000000-0005-0000-0000-000083030000}"/>
    <cellStyle name="20% - Accent6 3 2 5 3 2" xfId="14646" xr:uid="{0A54CBB4-1F70-4732-A55B-19015EB79BD1}"/>
    <cellStyle name="20% - Accent6 3 2 5 4" xfId="10428" xr:uid="{E267FD3D-ACAA-4A69-B658-77B9C6271991}"/>
    <cellStyle name="20% - Accent6 3 2 6" xfId="2310" xr:uid="{00000000-0005-0000-0000-000084030000}"/>
    <cellStyle name="20% - Accent6 3 2 6 2" xfId="6617" xr:uid="{00000000-0005-0000-0000-000085030000}"/>
    <cellStyle name="20% - Accent6 3 2 6 2 2" xfId="15059" xr:uid="{EE48BC6B-4AD0-46C4-9BE2-5D7EBA650449}"/>
    <cellStyle name="20% - Accent6 3 2 6 3" xfId="10841" xr:uid="{29C3D0E7-BC07-4EB9-9618-65B25901D3B9}"/>
    <cellStyle name="20% - Accent6 3 2 7" xfId="4551" xr:uid="{00000000-0005-0000-0000-000086030000}"/>
    <cellStyle name="20% - Accent6 3 2 7 2" xfId="12993" xr:uid="{308F5AC6-8B96-4D10-91D6-281383EA2801}"/>
    <cellStyle name="20% - Accent6 3 2 8" xfId="8775" xr:uid="{3D296790-5C00-4909-A5A0-BE7555436B11}"/>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DE4D7224-5A95-4BE8-BC52-359ED01645DA}"/>
    <cellStyle name="20% - Accent6 3 3 2 3" xfId="11333" xr:uid="{1BFC76D7-746E-4670-BE8A-1F9FDC035C50}"/>
    <cellStyle name="20% - Accent6 3 3 3" xfId="4964" xr:uid="{00000000-0005-0000-0000-00008A030000}"/>
    <cellStyle name="20% - Accent6 3 3 3 2" xfId="13406" xr:uid="{5B60A8C7-6B79-4476-B2F3-235CEEA89579}"/>
    <cellStyle name="20% - Accent6 3 3 4" xfId="9188" xr:uid="{C644C97E-FA68-43E9-A663-C191CC4DF5E0}"/>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02BBA0AD-3CDA-47D9-80C7-DB963C1E1CD2}"/>
    <cellStyle name="20% - Accent6 3 4 2 3" xfId="11746" xr:uid="{91253294-7237-43B4-921A-E6B9F08218C8}"/>
    <cellStyle name="20% - Accent6 3 4 3" xfId="5377" xr:uid="{00000000-0005-0000-0000-00008E030000}"/>
    <cellStyle name="20% - Accent6 3 4 3 2" xfId="13819" xr:uid="{5B54EE7F-C46E-4676-844E-A6A393538D45}"/>
    <cellStyle name="20% - Accent6 3 4 4" xfId="9601" xr:uid="{4D31A671-B143-476F-84F5-669144E4BCE7}"/>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4B5F3BED-57D4-4BAF-9291-BB2007600C81}"/>
    <cellStyle name="20% - Accent6 3 5 2 3" xfId="12159" xr:uid="{C685279E-D966-42FF-A997-C424B63E5510}"/>
    <cellStyle name="20% - Accent6 3 5 3" xfId="5790" xr:uid="{00000000-0005-0000-0000-000092030000}"/>
    <cellStyle name="20% - Accent6 3 5 3 2" xfId="14232" xr:uid="{0D293FFD-2211-4960-ADD8-8E1477D1B4D8}"/>
    <cellStyle name="20% - Accent6 3 5 4" xfId="10014" xr:uid="{C4D7EF51-0EDF-457A-B4F1-6580B219326C}"/>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1A6AA29C-89B8-4979-803A-DB4519A65919}"/>
    <cellStyle name="20% - Accent6 3 6 2 3" xfId="12572" xr:uid="{2DF38F64-5D1C-4498-8D1C-13BF6650D5D9}"/>
    <cellStyle name="20% - Accent6 3 6 3" xfId="6203" xr:uid="{00000000-0005-0000-0000-000096030000}"/>
    <cellStyle name="20% - Accent6 3 6 3 2" xfId="14645" xr:uid="{EEE643BA-3C62-4C9D-BEC0-1434E9D13088}"/>
    <cellStyle name="20% - Accent6 3 6 4" xfId="10427" xr:uid="{FEE7E4A9-39DB-4D23-97BC-53F664114450}"/>
    <cellStyle name="20% - Accent6 3 7" xfId="2309" xr:uid="{00000000-0005-0000-0000-000097030000}"/>
    <cellStyle name="20% - Accent6 3 7 2" xfId="6616" xr:uid="{00000000-0005-0000-0000-000098030000}"/>
    <cellStyle name="20% - Accent6 3 7 2 2" xfId="15058" xr:uid="{851B5F3A-CE5C-4D38-928C-D252C4898046}"/>
    <cellStyle name="20% - Accent6 3 7 3" xfId="10840" xr:uid="{2CB008D0-6326-43A3-8710-810390BEDD07}"/>
    <cellStyle name="20% - Accent6 3 8" xfId="4550" xr:uid="{00000000-0005-0000-0000-000099030000}"/>
    <cellStyle name="20% - Accent6 3 8 2" xfId="12992" xr:uid="{46D39E65-1342-4894-BD7B-F572FEF433B8}"/>
    <cellStyle name="20% - Accent6 3 9" xfId="8774" xr:uid="{502A79ED-7B60-4957-8C0E-3AB4677C90BF}"/>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08F6E38E-E916-47FA-A6A0-7C2DB17490D7}"/>
    <cellStyle name="20% - Accent6 4 2 2 3" xfId="11335" xr:uid="{35F0D03A-0455-4321-BD78-C56434ABEE0F}"/>
    <cellStyle name="20% - Accent6 4 2 3" xfId="4966" xr:uid="{00000000-0005-0000-0000-00009E030000}"/>
    <cellStyle name="20% - Accent6 4 2 3 2" xfId="13408" xr:uid="{C51BC872-BE7B-4A15-956D-97326E0AB4B2}"/>
    <cellStyle name="20% - Accent6 4 2 4" xfId="9190" xr:uid="{10B1DCBA-EF4A-4DC2-889F-F1F5F6082779}"/>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7E0604AE-EC33-4B5C-9070-0289CD465AB3}"/>
    <cellStyle name="20% - Accent6 4 3 2 3" xfId="11748" xr:uid="{0C8D0F3D-FBD9-46D7-946D-A96C2D068B3B}"/>
    <cellStyle name="20% - Accent6 4 3 3" xfId="5379" xr:uid="{00000000-0005-0000-0000-0000A2030000}"/>
    <cellStyle name="20% - Accent6 4 3 3 2" xfId="13821" xr:uid="{9B20F2F7-9446-4B76-A7E1-D463F5777AEA}"/>
    <cellStyle name="20% - Accent6 4 3 4" xfId="9603" xr:uid="{3B39830C-BCEB-49A3-9D44-AEC4014B7245}"/>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9AFAEA0C-4CB2-49C0-886F-6EF36485A9B6}"/>
    <cellStyle name="20% - Accent6 4 4 2 3" xfId="12161" xr:uid="{263E845B-DDA1-4359-9C19-5918A4D80072}"/>
    <cellStyle name="20% - Accent6 4 4 3" xfId="5792" xr:uid="{00000000-0005-0000-0000-0000A6030000}"/>
    <cellStyle name="20% - Accent6 4 4 3 2" xfId="14234" xr:uid="{E25FEDC9-249B-4A9E-8F93-AA4C86E95EB1}"/>
    <cellStyle name="20% - Accent6 4 4 4" xfId="10016" xr:uid="{57546A3B-C1E2-487B-A9A2-C396511A92BB}"/>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61122632-A795-427A-978C-17742202ADFF}"/>
    <cellStyle name="20% - Accent6 4 5 2 3" xfId="12574" xr:uid="{D156333B-2379-4646-AC44-535589D66C1F}"/>
    <cellStyle name="20% - Accent6 4 5 3" xfId="6205" xr:uid="{00000000-0005-0000-0000-0000AA030000}"/>
    <cellStyle name="20% - Accent6 4 5 3 2" xfId="14647" xr:uid="{2587F7FF-A6F7-45D3-AF7A-09A255B5E34F}"/>
    <cellStyle name="20% - Accent6 4 5 4" xfId="10429" xr:uid="{6A63C98C-BD89-4CA8-A31C-B2AA6BC59530}"/>
    <cellStyle name="20% - Accent6 4 6" xfId="2311" xr:uid="{00000000-0005-0000-0000-0000AB030000}"/>
    <cellStyle name="20% - Accent6 4 6 2" xfId="6618" xr:uid="{00000000-0005-0000-0000-0000AC030000}"/>
    <cellStyle name="20% - Accent6 4 6 2 2" xfId="15060" xr:uid="{745A8351-99B7-4A5D-B623-8459DDE6D609}"/>
    <cellStyle name="20% - Accent6 4 6 3" xfId="10842" xr:uid="{290EFBD3-3416-4C2D-A35A-CA79A14B7C80}"/>
    <cellStyle name="20% - Accent6 4 7" xfId="4552" xr:uid="{00000000-0005-0000-0000-0000AD030000}"/>
    <cellStyle name="20% - Accent6 4 7 2" xfId="12994" xr:uid="{D2B4F809-3CD1-42F8-A55A-CDAD625EBA49}"/>
    <cellStyle name="20% - Accent6 4 8" xfId="8776" xr:uid="{C9B523C5-0B54-488D-98DC-A2A95040ADC0}"/>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083FAB96-5A18-4B3A-9F85-14DAE05F8AEA}"/>
    <cellStyle name="20% - Accent6 5 2 3" xfId="11328" xr:uid="{A281B1F8-B346-4108-B70B-FDFA3D2264EA}"/>
    <cellStyle name="20% - Accent6 5 3" xfId="4959" xr:uid="{00000000-0005-0000-0000-0000B1030000}"/>
    <cellStyle name="20% - Accent6 5 3 2" xfId="13401" xr:uid="{85A4C892-F80D-41E3-83F6-E68FACD92988}"/>
    <cellStyle name="20% - Accent6 5 4" xfId="9183" xr:uid="{3B51F541-3D74-4D17-8CE5-2B46FA589D14}"/>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B993457E-84F1-473B-9D9B-2733A0CA2DEE}"/>
    <cellStyle name="20% - Accent6 6 2 3" xfId="11741" xr:uid="{CA46E924-8D0B-49B3-86BB-F878090A8281}"/>
    <cellStyle name="20% - Accent6 6 3" xfId="5372" xr:uid="{00000000-0005-0000-0000-0000B5030000}"/>
    <cellStyle name="20% - Accent6 6 3 2" xfId="13814" xr:uid="{59C86FBB-7E53-43F8-9D9A-A389D0A66B83}"/>
    <cellStyle name="20% - Accent6 6 4" xfId="9596" xr:uid="{1A33A267-359C-4AE3-8B9E-F92C43CD53D6}"/>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87652486-1E77-4C8E-9211-A93D4B01DE69}"/>
    <cellStyle name="20% - Accent6 7 2 3" xfId="12154" xr:uid="{4B428E53-CEC7-48C3-91DB-1F3D14AD68AD}"/>
    <cellStyle name="20% - Accent6 7 3" xfId="5785" xr:uid="{00000000-0005-0000-0000-0000B9030000}"/>
    <cellStyle name="20% - Accent6 7 3 2" xfId="14227" xr:uid="{0FCBE2E0-8B02-4A9A-99B3-14764B5ADF90}"/>
    <cellStyle name="20% - Accent6 7 4" xfId="10009" xr:uid="{8031468A-20D3-421A-9509-860A27388302}"/>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CA07B2E7-1597-474B-8183-4A85E9CBF504}"/>
    <cellStyle name="20% - Accent6 8 2 3" xfId="12567" xr:uid="{46F8832B-F644-4322-9E0E-EF766F611BAA}"/>
    <cellStyle name="20% - Accent6 8 3" xfId="6198" xr:uid="{00000000-0005-0000-0000-0000BD030000}"/>
    <cellStyle name="20% - Accent6 8 3 2" xfId="14640" xr:uid="{9B35B648-2059-4BBC-A181-CD59A5A4BE7C}"/>
    <cellStyle name="20% - Accent6 8 4" xfId="10422" xr:uid="{8DCE30E0-05EB-47AE-88A3-341BA5FF3B57}"/>
    <cellStyle name="20% - Accent6 9" xfId="2304" xr:uid="{00000000-0005-0000-0000-0000BE030000}"/>
    <cellStyle name="20% - Accent6 9 2" xfId="6611" xr:uid="{00000000-0005-0000-0000-0000BF030000}"/>
    <cellStyle name="20% - Accent6 9 2 2" xfId="15053" xr:uid="{7448791D-9B85-408D-80D5-F40A4F1B40DE}"/>
    <cellStyle name="20% - Accent6 9 3" xfId="10835" xr:uid="{6101F97A-B1E4-4DCA-B41E-6CC82E13475F}"/>
    <cellStyle name="40% - Accent1" xfId="49" builtinId="31" customBuiltin="1"/>
    <cellStyle name="40% - Accent1 10" xfId="4553" xr:uid="{00000000-0005-0000-0000-0000C1030000}"/>
    <cellStyle name="40% - Accent1 10 2" xfId="12995" xr:uid="{8BDEA92C-CCCF-4F9D-979B-51BD43FC7CD0}"/>
    <cellStyle name="40% - Accent1 11" xfId="8777" xr:uid="{050E8ED7-B5AC-48A6-B932-7D36F34DDDBB}"/>
    <cellStyle name="40% - Accent1 2" xfId="50" xr:uid="{00000000-0005-0000-0000-0000C2030000}"/>
    <cellStyle name="40% - Accent1 2 10" xfId="8778" xr:uid="{BDAC01E2-9B8D-41E1-984C-878303E69F13}"/>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27E36337-BE8F-4208-8D5C-FAF0085ECDF0}"/>
    <cellStyle name="40% - Accent1 2 2 2 2 2 3" xfId="11339" xr:uid="{364BD33E-5F70-4FBE-93CD-9E1142D64FF4}"/>
    <cellStyle name="40% - Accent1 2 2 2 2 3" xfId="4970" xr:uid="{00000000-0005-0000-0000-0000C8030000}"/>
    <cellStyle name="40% - Accent1 2 2 2 2 3 2" xfId="13412" xr:uid="{FDCC1786-E3DD-4D00-BCD0-FE391A42E037}"/>
    <cellStyle name="40% - Accent1 2 2 2 2 4" xfId="9194" xr:uid="{97F26562-969C-43AF-8B71-311838DA243D}"/>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B6F5CD06-C869-4514-87F1-A99CC9CDC2E1}"/>
    <cellStyle name="40% - Accent1 2 2 2 3 2 3" xfId="11752" xr:uid="{8EDFE805-357F-4514-B88F-BB2CE5451269}"/>
    <cellStyle name="40% - Accent1 2 2 2 3 3" xfId="5383" xr:uid="{00000000-0005-0000-0000-0000CC030000}"/>
    <cellStyle name="40% - Accent1 2 2 2 3 3 2" xfId="13825" xr:uid="{1C361C85-99BA-48FA-B77F-CDBC60C22888}"/>
    <cellStyle name="40% - Accent1 2 2 2 3 4" xfId="9607" xr:uid="{6FAD4A8E-B1B8-4B2A-8663-A795A3CEC881}"/>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D0AFFF99-28E2-40B4-A8BC-E80FA3842597}"/>
    <cellStyle name="40% - Accent1 2 2 2 4 2 3" xfId="12165" xr:uid="{A222641A-AA68-4836-B6DD-857EA221EF04}"/>
    <cellStyle name="40% - Accent1 2 2 2 4 3" xfId="5796" xr:uid="{00000000-0005-0000-0000-0000D0030000}"/>
    <cellStyle name="40% - Accent1 2 2 2 4 3 2" xfId="14238" xr:uid="{07888E8F-C3F9-41D9-8254-D35908E4447F}"/>
    <cellStyle name="40% - Accent1 2 2 2 4 4" xfId="10020" xr:uid="{80D03463-4785-43B3-BB19-9EE5390CF657}"/>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548ABDC6-9668-47BC-A314-5B00FB1EDD55}"/>
    <cellStyle name="40% - Accent1 2 2 2 5 2 3" xfId="12578" xr:uid="{7E387CA4-73EC-4E12-AE57-AE44C3B1749C}"/>
    <cellStyle name="40% - Accent1 2 2 2 5 3" xfId="6209" xr:uid="{00000000-0005-0000-0000-0000D4030000}"/>
    <cellStyle name="40% - Accent1 2 2 2 5 3 2" xfId="14651" xr:uid="{FEF7C5D0-8E50-4097-BF09-9EC74FE0DAD8}"/>
    <cellStyle name="40% - Accent1 2 2 2 5 4" xfId="10433" xr:uid="{EAF3079A-7173-4B9E-A013-A273867AFC6D}"/>
    <cellStyle name="40% - Accent1 2 2 2 6" xfId="2315" xr:uid="{00000000-0005-0000-0000-0000D5030000}"/>
    <cellStyle name="40% - Accent1 2 2 2 6 2" xfId="6622" xr:uid="{00000000-0005-0000-0000-0000D6030000}"/>
    <cellStyle name="40% - Accent1 2 2 2 6 2 2" xfId="15064" xr:uid="{BDD2180A-6BAA-4C02-8073-340FE4F7ED43}"/>
    <cellStyle name="40% - Accent1 2 2 2 6 3" xfId="10846" xr:uid="{9DC12397-AAC0-418D-BF7E-15F81ECBC47A}"/>
    <cellStyle name="40% - Accent1 2 2 2 7" xfId="4556" xr:uid="{00000000-0005-0000-0000-0000D7030000}"/>
    <cellStyle name="40% - Accent1 2 2 2 7 2" xfId="12998" xr:uid="{936B3551-5E02-4F6D-9BCA-24C2C5692C80}"/>
    <cellStyle name="40% - Accent1 2 2 2 8" xfId="8780" xr:uid="{7432BB9A-F6E8-49DF-8E68-416F3F3180DE}"/>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46E4842B-55F2-4973-8BFE-36E299CCC246}"/>
    <cellStyle name="40% - Accent1 2 2 3 2 3" xfId="11338" xr:uid="{90247BA4-2F60-4890-B0A7-6DCDB61250DC}"/>
    <cellStyle name="40% - Accent1 2 2 3 3" xfId="4969" xr:uid="{00000000-0005-0000-0000-0000DB030000}"/>
    <cellStyle name="40% - Accent1 2 2 3 3 2" xfId="13411" xr:uid="{E7F92A16-7F95-42B8-A99E-A58533518E5A}"/>
    <cellStyle name="40% - Accent1 2 2 3 4" xfId="9193" xr:uid="{5311DD50-62FD-45F0-A25F-FF6587135997}"/>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56CF3C9E-7AEA-409B-BC88-5A898F81E329}"/>
    <cellStyle name="40% - Accent1 2 2 4 2 3" xfId="11751" xr:uid="{ED88C5CF-1490-4DFB-B966-73505BBE7FC9}"/>
    <cellStyle name="40% - Accent1 2 2 4 3" xfId="5382" xr:uid="{00000000-0005-0000-0000-0000DF030000}"/>
    <cellStyle name="40% - Accent1 2 2 4 3 2" xfId="13824" xr:uid="{F697601C-A393-49D1-B3A5-150EDA53BFDB}"/>
    <cellStyle name="40% - Accent1 2 2 4 4" xfId="9606" xr:uid="{4AC44CD6-BC1E-47FB-B842-EE27FF8C1E6D}"/>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C77CD7BE-83F0-4987-87E9-BB7C490BFEB0}"/>
    <cellStyle name="40% - Accent1 2 2 5 2 3" xfId="12164" xr:uid="{E769770E-F883-4FBF-981B-BAEAB25D18C9}"/>
    <cellStyle name="40% - Accent1 2 2 5 3" xfId="5795" xr:uid="{00000000-0005-0000-0000-0000E3030000}"/>
    <cellStyle name="40% - Accent1 2 2 5 3 2" xfId="14237" xr:uid="{8243441E-41C4-4773-8D7F-0E97D302F572}"/>
    <cellStyle name="40% - Accent1 2 2 5 4" xfId="10019" xr:uid="{C2364818-7FDA-4826-B9D3-23AA04710726}"/>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B7AD6D56-ED0F-48AF-BED9-3440C36D57C1}"/>
    <cellStyle name="40% - Accent1 2 2 6 2 3" xfId="12577" xr:uid="{89A5BDEF-830B-429F-B130-76EB4AAE7D8D}"/>
    <cellStyle name="40% - Accent1 2 2 6 3" xfId="6208" xr:uid="{00000000-0005-0000-0000-0000E7030000}"/>
    <cellStyle name="40% - Accent1 2 2 6 3 2" xfId="14650" xr:uid="{7FE2F29B-DF1D-4AC6-BEB5-CA99459D382F}"/>
    <cellStyle name="40% - Accent1 2 2 6 4" xfId="10432" xr:uid="{004EEA37-8C25-4C6C-954B-46D853FCD60B}"/>
    <cellStyle name="40% - Accent1 2 2 7" xfId="2314" xr:uid="{00000000-0005-0000-0000-0000E8030000}"/>
    <cellStyle name="40% - Accent1 2 2 7 2" xfId="6621" xr:uid="{00000000-0005-0000-0000-0000E9030000}"/>
    <cellStyle name="40% - Accent1 2 2 7 2 2" xfId="15063" xr:uid="{4CDA17B7-CFCD-4C8D-ACDA-C10832E03454}"/>
    <cellStyle name="40% - Accent1 2 2 7 3" xfId="10845" xr:uid="{E5EDAE2E-A660-46CC-B062-FD60A8DCA895}"/>
    <cellStyle name="40% - Accent1 2 2 8" xfId="4555" xr:uid="{00000000-0005-0000-0000-0000EA030000}"/>
    <cellStyle name="40% - Accent1 2 2 8 2" xfId="12997" xr:uid="{E35AE6B6-D68C-4D10-A993-7F3285307809}"/>
    <cellStyle name="40% - Accent1 2 2 9" xfId="8779" xr:uid="{3CEF06B5-9B63-4266-8094-6ABEEEA433E8}"/>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130ED1F6-8ECE-4291-B1EC-835F33BD7BC8}"/>
    <cellStyle name="40% - Accent1 2 3 2 2 3" xfId="11340" xr:uid="{1E336905-A3EB-4639-818B-2BACADECEC8A}"/>
    <cellStyle name="40% - Accent1 2 3 2 3" xfId="4971" xr:uid="{00000000-0005-0000-0000-0000EF030000}"/>
    <cellStyle name="40% - Accent1 2 3 2 3 2" xfId="13413" xr:uid="{E7CC5C75-1E6F-42BC-AE89-5F7BD2FF5AB2}"/>
    <cellStyle name="40% - Accent1 2 3 2 4" xfId="9195" xr:uid="{EC9A3968-199A-4FA5-B152-F1ED9A09BF3B}"/>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5C51ED2C-41BF-4571-B8D4-BE3B4459124D}"/>
    <cellStyle name="40% - Accent1 2 3 3 2 3" xfId="11753" xr:uid="{F3803BD7-F5EF-4B1D-9011-49A19EA3AD97}"/>
    <cellStyle name="40% - Accent1 2 3 3 3" xfId="5384" xr:uid="{00000000-0005-0000-0000-0000F3030000}"/>
    <cellStyle name="40% - Accent1 2 3 3 3 2" xfId="13826" xr:uid="{070F7CD1-87E0-4FEC-8214-B24674BB0950}"/>
    <cellStyle name="40% - Accent1 2 3 3 4" xfId="9608" xr:uid="{F038E0DE-95FC-4239-9BF5-1180B84D5949}"/>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8CE5D02F-94F8-494F-98AC-8EDC063B6B2C}"/>
    <cellStyle name="40% - Accent1 2 3 4 2 3" xfId="12166" xr:uid="{2D9E9FD3-6352-41F7-BA31-2E934431747C}"/>
    <cellStyle name="40% - Accent1 2 3 4 3" xfId="5797" xr:uid="{00000000-0005-0000-0000-0000F7030000}"/>
    <cellStyle name="40% - Accent1 2 3 4 3 2" xfId="14239" xr:uid="{47F19FC4-AFE2-44D7-AC09-D5A150017C5E}"/>
    <cellStyle name="40% - Accent1 2 3 4 4" xfId="10021" xr:uid="{0BF877F9-B6F4-416E-A45C-9A8B52A1FBA2}"/>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9175DF7B-7E47-4AE3-87F9-2192F2BFA9EA}"/>
    <cellStyle name="40% - Accent1 2 3 5 2 3" xfId="12579" xr:uid="{17BF1ABB-FAC8-4DEC-B423-1BBF7BC2B101}"/>
    <cellStyle name="40% - Accent1 2 3 5 3" xfId="6210" xr:uid="{00000000-0005-0000-0000-0000FB030000}"/>
    <cellStyle name="40% - Accent1 2 3 5 3 2" xfId="14652" xr:uid="{A6965498-6E14-43CF-A5B3-237AFC7A366C}"/>
    <cellStyle name="40% - Accent1 2 3 5 4" xfId="10434" xr:uid="{E8471B0B-10DC-4447-8595-CCE6301F057B}"/>
    <cellStyle name="40% - Accent1 2 3 6" xfId="2316" xr:uid="{00000000-0005-0000-0000-0000FC030000}"/>
    <cellStyle name="40% - Accent1 2 3 6 2" xfId="6623" xr:uid="{00000000-0005-0000-0000-0000FD030000}"/>
    <cellStyle name="40% - Accent1 2 3 6 2 2" xfId="15065" xr:uid="{DB824ACD-6E76-4AFF-B950-342052F1214C}"/>
    <cellStyle name="40% - Accent1 2 3 6 3" xfId="10847" xr:uid="{038573A5-BC64-4E91-8411-9702326AFABC}"/>
    <cellStyle name="40% - Accent1 2 3 7" xfId="4557" xr:uid="{00000000-0005-0000-0000-0000FE030000}"/>
    <cellStyle name="40% - Accent1 2 3 7 2" xfId="12999" xr:uid="{57FD72AC-65B6-4B48-9116-834458CC3229}"/>
    <cellStyle name="40% - Accent1 2 3 8" xfId="8781" xr:uid="{168D9D28-2A6C-4E65-A10F-A2DCB8EBB09D}"/>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EA02FE70-D805-453A-9F00-EB31608D25D9}"/>
    <cellStyle name="40% - Accent1 2 4 2 3" xfId="11337" xr:uid="{F34F88C9-B995-4338-8ED4-E3A22F5D7963}"/>
    <cellStyle name="40% - Accent1 2 4 3" xfId="4968" xr:uid="{00000000-0005-0000-0000-000002040000}"/>
    <cellStyle name="40% - Accent1 2 4 3 2" xfId="13410" xr:uid="{55F9CAE9-AD53-4694-8098-C792945DD12E}"/>
    <cellStyle name="40% - Accent1 2 4 4" xfId="9192" xr:uid="{03344B67-61DA-4CB0-913E-BADF62C97F81}"/>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7DCF3DA4-0819-4370-B58A-2D8B42B952F9}"/>
    <cellStyle name="40% - Accent1 2 5 2 3" xfId="11750" xr:uid="{C4728B5B-C370-4827-9090-64A57F04C1B0}"/>
    <cellStyle name="40% - Accent1 2 5 3" xfId="5381" xr:uid="{00000000-0005-0000-0000-000006040000}"/>
    <cellStyle name="40% - Accent1 2 5 3 2" xfId="13823" xr:uid="{0D83CFFD-E97B-48F9-9495-FC8E54CC3B86}"/>
    <cellStyle name="40% - Accent1 2 5 4" xfId="9605" xr:uid="{1B2A28A7-8248-4650-B1E9-6F7EAE23257B}"/>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AB69DD5C-E7BA-417E-9B09-0B9939B8579B}"/>
    <cellStyle name="40% - Accent1 2 6 2 3" xfId="12163" xr:uid="{6F343826-A46B-497B-A34C-04D6EDE3D956}"/>
    <cellStyle name="40% - Accent1 2 6 3" xfId="5794" xr:uid="{00000000-0005-0000-0000-00000A040000}"/>
    <cellStyle name="40% - Accent1 2 6 3 2" xfId="14236" xr:uid="{81C46FB5-44AB-4A2D-97A3-FA8A419F6B31}"/>
    <cellStyle name="40% - Accent1 2 6 4" xfId="10018" xr:uid="{83A35907-69F0-457D-A024-6C8550034BF2}"/>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4851E80F-0159-4003-A8F6-C2BCFC43E056}"/>
    <cellStyle name="40% - Accent1 2 7 2 3" xfId="12576" xr:uid="{05752C46-66F5-4734-BA2F-A68C1BF7E18C}"/>
    <cellStyle name="40% - Accent1 2 7 3" xfId="6207" xr:uid="{00000000-0005-0000-0000-00000E040000}"/>
    <cellStyle name="40% - Accent1 2 7 3 2" xfId="14649" xr:uid="{58FF9565-8A06-4457-937F-767B0908C3D2}"/>
    <cellStyle name="40% - Accent1 2 7 4" xfId="10431" xr:uid="{CF6F0453-DD40-4EBC-B19A-5CC59D255E56}"/>
    <cellStyle name="40% - Accent1 2 8" xfId="2313" xr:uid="{00000000-0005-0000-0000-00000F040000}"/>
    <cellStyle name="40% - Accent1 2 8 2" xfId="6620" xr:uid="{00000000-0005-0000-0000-000010040000}"/>
    <cellStyle name="40% - Accent1 2 8 2 2" xfId="15062" xr:uid="{106A8D39-66E9-418B-B0C7-F0FBFB2DC7E4}"/>
    <cellStyle name="40% - Accent1 2 8 3" xfId="10844" xr:uid="{D460925F-BF97-4D80-BB41-FDDF747DC977}"/>
    <cellStyle name="40% - Accent1 2 9" xfId="4554" xr:uid="{00000000-0005-0000-0000-000011040000}"/>
    <cellStyle name="40% - Accent1 2 9 2" xfId="12996" xr:uid="{567B6C50-62DC-4C5B-956D-97EC80DE8FC5}"/>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EB7D0E5D-7DDC-4242-B0BB-155F6BA286E1}"/>
    <cellStyle name="40% - Accent1 3 2 2 2 3" xfId="11342" xr:uid="{75B19376-84DE-4026-84DA-ED029A6F154C}"/>
    <cellStyle name="40% - Accent1 3 2 2 3" xfId="4973" xr:uid="{00000000-0005-0000-0000-000017040000}"/>
    <cellStyle name="40% - Accent1 3 2 2 3 2" xfId="13415" xr:uid="{7DE22857-04FC-4FED-A5E4-D9080B8B0E8B}"/>
    <cellStyle name="40% - Accent1 3 2 2 4" xfId="9197" xr:uid="{0B69F4F6-94E4-4A36-B613-E9472555C517}"/>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BCABBDF4-C0D6-4B90-8213-F1FD1E540DFB}"/>
    <cellStyle name="40% - Accent1 3 2 3 2 3" xfId="11755" xr:uid="{0BE362A0-1603-4238-BA37-87D43082A693}"/>
    <cellStyle name="40% - Accent1 3 2 3 3" xfId="5386" xr:uid="{00000000-0005-0000-0000-00001B040000}"/>
    <cellStyle name="40% - Accent1 3 2 3 3 2" xfId="13828" xr:uid="{C695516F-4EFF-44B8-8F18-EA825DF672AF}"/>
    <cellStyle name="40% - Accent1 3 2 3 4" xfId="9610" xr:uid="{F8BD2DE5-B4A5-4DF3-94E2-E1E132BBBADD}"/>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B1AE2F86-6A2F-4174-B107-A728CF17DF38}"/>
    <cellStyle name="40% - Accent1 3 2 4 2 3" xfId="12168" xr:uid="{A9159FFC-6235-4F6C-967B-6AFD027F4A7B}"/>
    <cellStyle name="40% - Accent1 3 2 4 3" xfId="5799" xr:uid="{00000000-0005-0000-0000-00001F040000}"/>
    <cellStyle name="40% - Accent1 3 2 4 3 2" xfId="14241" xr:uid="{B55D65E7-B473-4EB0-AB9A-D00E0061D737}"/>
    <cellStyle name="40% - Accent1 3 2 4 4" xfId="10023" xr:uid="{4ED633C3-CA83-465E-BF75-A95B382A0662}"/>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C8995122-1771-450A-81FE-D226A73B375A}"/>
    <cellStyle name="40% - Accent1 3 2 5 2 3" xfId="12581" xr:uid="{D0AE0281-0007-4CD5-AF5C-CD0A89FA2A96}"/>
    <cellStyle name="40% - Accent1 3 2 5 3" xfId="6212" xr:uid="{00000000-0005-0000-0000-000023040000}"/>
    <cellStyle name="40% - Accent1 3 2 5 3 2" xfId="14654" xr:uid="{6302A179-E3A2-4514-A84B-C57D8BFDA4F5}"/>
    <cellStyle name="40% - Accent1 3 2 5 4" xfId="10436" xr:uid="{ED6BE671-1EFD-49E7-9D3A-B1B60CA88EC1}"/>
    <cellStyle name="40% - Accent1 3 2 6" xfId="2318" xr:uid="{00000000-0005-0000-0000-000024040000}"/>
    <cellStyle name="40% - Accent1 3 2 6 2" xfId="6625" xr:uid="{00000000-0005-0000-0000-000025040000}"/>
    <cellStyle name="40% - Accent1 3 2 6 2 2" xfId="15067" xr:uid="{5DD0C95F-9E1C-4AA7-8637-C1379B8D29DF}"/>
    <cellStyle name="40% - Accent1 3 2 6 3" xfId="10849" xr:uid="{A00988F1-C621-4F23-A312-B7388FA1624D}"/>
    <cellStyle name="40% - Accent1 3 2 7" xfId="4559" xr:uid="{00000000-0005-0000-0000-000026040000}"/>
    <cellStyle name="40% - Accent1 3 2 7 2" xfId="13001" xr:uid="{7B4AC6A8-23C7-4A80-9FD2-C1E6A34808C5}"/>
    <cellStyle name="40% - Accent1 3 2 8" xfId="8783" xr:uid="{588B12FA-5C74-498C-AF05-A5BA7101303E}"/>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7CBC37AD-00B7-498A-B6C3-3FC7BDA7A448}"/>
    <cellStyle name="40% - Accent1 3 3 2 3" xfId="11341" xr:uid="{D47D46EB-E2F8-4674-B1B0-1C9C8E56B17D}"/>
    <cellStyle name="40% - Accent1 3 3 3" xfId="4972" xr:uid="{00000000-0005-0000-0000-00002A040000}"/>
    <cellStyle name="40% - Accent1 3 3 3 2" xfId="13414" xr:uid="{4051E617-3B21-4318-A6C5-0092D47EA52A}"/>
    <cellStyle name="40% - Accent1 3 3 4" xfId="9196" xr:uid="{DF8F06CE-090D-406C-A7AF-150C3CABDD69}"/>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5AC9F554-E620-447E-8297-CCC312B10D13}"/>
    <cellStyle name="40% - Accent1 3 4 2 3" xfId="11754" xr:uid="{5CBF6B5A-67B2-40B1-A63C-9D311827EA2B}"/>
    <cellStyle name="40% - Accent1 3 4 3" xfId="5385" xr:uid="{00000000-0005-0000-0000-00002E040000}"/>
    <cellStyle name="40% - Accent1 3 4 3 2" xfId="13827" xr:uid="{281D6571-AB45-4CCA-B145-C25A6637507E}"/>
    <cellStyle name="40% - Accent1 3 4 4" xfId="9609" xr:uid="{DC033FCB-C889-496A-A5AB-7607809F7674}"/>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E5DD8788-654E-425A-B486-367842576F7E}"/>
    <cellStyle name="40% - Accent1 3 5 2 3" xfId="12167" xr:uid="{E751F003-F6C7-40B6-9380-521AF9459308}"/>
    <cellStyle name="40% - Accent1 3 5 3" xfId="5798" xr:uid="{00000000-0005-0000-0000-000032040000}"/>
    <cellStyle name="40% - Accent1 3 5 3 2" xfId="14240" xr:uid="{FFEF366E-9D81-4953-BE71-F7EE1D194574}"/>
    <cellStyle name="40% - Accent1 3 5 4" xfId="10022" xr:uid="{7AD089C5-B13D-4600-9451-AFF24A626757}"/>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BFF9ABDA-1427-48CE-943C-BF7596477905}"/>
    <cellStyle name="40% - Accent1 3 6 2 3" xfId="12580" xr:uid="{2767DBB4-002C-4FC4-AAA6-A6C3A4E5022D}"/>
    <cellStyle name="40% - Accent1 3 6 3" xfId="6211" xr:uid="{00000000-0005-0000-0000-000036040000}"/>
    <cellStyle name="40% - Accent1 3 6 3 2" xfId="14653" xr:uid="{51ED9931-0C82-427F-A041-45A36FD6FBE7}"/>
    <cellStyle name="40% - Accent1 3 6 4" xfId="10435" xr:uid="{1037096F-7532-42EA-BE71-DE085266078B}"/>
    <cellStyle name="40% - Accent1 3 7" xfId="2317" xr:uid="{00000000-0005-0000-0000-000037040000}"/>
    <cellStyle name="40% - Accent1 3 7 2" xfId="6624" xr:uid="{00000000-0005-0000-0000-000038040000}"/>
    <cellStyle name="40% - Accent1 3 7 2 2" xfId="15066" xr:uid="{5B71DEC1-9875-45E2-8729-0A45530490BF}"/>
    <cellStyle name="40% - Accent1 3 7 3" xfId="10848" xr:uid="{50AF1A7D-CA23-4F29-8C55-B470CADE09A5}"/>
    <cellStyle name="40% - Accent1 3 8" xfId="4558" xr:uid="{00000000-0005-0000-0000-000039040000}"/>
    <cellStyle name="40% - Accent1 3 8 2" xfId="13000" xr:uid="{181B50D4-47FC-494F-9040-4B3CB4DED9BE}"/>
    <cellStyle name="40% - Accent1 3 9" xfId="8782" xr:uid="{09761B30-0A69-4491-9A4E-73D88F55D6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0AECDC15-A7C7-4B31-BEB4-776B64129AD4}"/>
    <cellStyle name="40% - Accent1 4 2 2 3" xfId="11343" xr:uid="{F9D1A580-4A44-4422-8890-42AFBD9EFC22}"/>
    <cellStyle name="40% - Accent1 4 2 3" xfId="4974" xr:uid="{00000000-0005-0000-0000-00003E040000}"/>
    <cellStyle name="40% - Accent1 4 2 3 2" xfId="13416" xr:uid="{1157FC87-044B-478F-9A46-33CB2CCEAC15}"/>
    <cellStyle name="40% - Accent1 4 2 4" xfId="9198" xr:uid="{E6F85839-4B23-4872-97F0-B90709B67E54}"/>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422C9192-C0C1-4ADC-B70F-BACCD43E78B3}"/>
    <cellStyle name="40% - Accent1 4 3 2 3" xfId="11756" xr:uid="{532C6962-2C18-4447-AB86-0BE2C5A739D4}"/>
    <cellStyle name="40% - Accent1 4 3 3" xfId="5387" xr:uid="{00000000-0005-0000-0000-000042040000}"/>
    <cellStyle name="40% - Accent1 4 3 3 2" xfId="13829" xr:uid="{FC034863-1EBA-4D60-BB55-AE27C3C23582}"/>
    <cellStyle name="40% - Accent1 4 3 4" xfId="9611" xr:uid="{223D565D-1249-425E-B921-D971C0BCB6FA}"/>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C28297FE-0CE5-47DE-A659-C167798685D6}"/>
    <cellStyle name="40% - Accent1 4 4 2 3" xfId="12169" xr:uid="{E8519922-639C-446F-B44C-2EDBEE686CFA}"/>
    <cellStyle name="40% - Accent1 4 4 3" xfId="5800" xr:uid="{00000000-0005-0000-0000-000046040000}"/>
    <cellStyle name="40% - Accent1 4 4 3 2" xfId="14242" xr:uid="{9DD77D05-0619-4152-BB7B-1D1FA2EBBC64}"/>
    <cellStyle name="40% - Accent1 4 4 4" xfId="10024" xr:uid="{05DC7F41-61E7-4B6B-A2CD-52F5E6AB1B32}"/>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727E1238-3B64-4127-AA97-A85F359DA637}"/>
    <cellStyle name="40% - Accent1 4 5 2 3" xfId="12582" xr:uid="{48BA3695-BA60-4128-A2CE-D793FBBDDA19}"/>
    <cellStyle name="40% - Accent1 4 5 3" xfId="6213" xr:uid="{00000000-0005-0000-0000-00004A040000}"/>
    <cellStyle name="40% - Accent1 4 5 3 2" xfId="14655" xr:uid="{E987481F-9D97-4A05-9261-5777E85D768C}"/>
    <cellStyle name="40% - Accent1 4 5 4" xfId="10437" xr:uid="{9531898D-04C5-4A60-92BA-88FA403A3ACD}"/>
    <cellStyle name="40% - Accent1 4 6" xfId="2319" xr:uid="{00000000-0005-0000-0000-00004B040000}"/>
    <cellStyle name="40% - Accent1 4 6 2" xfId="6626" xr:uid="{00000000-0005-0000-0000-00004C040000}"/>
    <cellStyle name="40% - Accent1 4 6 2 2" xfId="15068" xr:uid="{FACAEE13-47B1-4021-B354-9F7BE91EBC6D}"/>
    <cellStyle name="40% - Accent1 4 6 3" xfId="10850" xr:uid="{E00BDD64-4284-43B2-88E2-5327EC85753C}"/>
    <cellStyle name="40% - Accent1 4 7" xfId="4560" xr:uid="{00000000-0005-0000-0000-00004D040000}"/>
    <cellStyle name="40% - Accent1 4 7 2" xfId="13002" xr:uid="{CD765417-0A0B-4C94-A9A1-DE6EC85B7E76}"/>
    <cellStyle name="40% - Accent1 4 8" xfId="8784" xr:uid="{5FF3793B-60CB-44ED-BB39-7D3E159F22C8}"/>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8C34AAED-1832-4EC4-B420-74CE89D9BFD4}"/>
    <cellStyle name="40% - Accent1 5 2 3" xfId="11336" xr:uid="{A5BE0CD6-F8C8-4EAB-9543-0E72E02B13F3}"/>
    <cellStyle name="40% - Accent1 5 3" xfId="4967" xr:uid="{00000000-0005-0000-0000-000051040000}"/>
    <cellStyle name="40% - Accent1 5 3 2" xfId="13409" xr:uid="{E297360C-1B20-4BE0-BD9D-029BD8B98FC4}"/>
    <cellStyle name="40% - Accent1 5 4" xfId="9191" xr:uid="{C30191D2-5F7C-4A7A-817B-0B89740AB2CC}"/>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835F4C4A-75D3-48FE-9F5A-034C8EA829FA}"/>
    <cellStyle name="40% - Accent1 6 2 3" xfId="11749" xr:uid="{BDD15FDA-ED46-495E-A8D9-59CE877BC59E}"/>
    <cellStyle name="40% - Accent1 6 3" xfId="5380" xr:uid="{00000000-0005-0000-0000-000055040000}"/>
    <cellStyle name="40% - Accent1 6 3 2" xfId="13822" xr:uid="{F4B9CD79-0D4B-4BA7-8DDB-8C2D6BE85A2C}"/>
    <cellStyle name="40% - Accent1 6 4" xfId="9604" xr:uid="{7D6DFE56-85DE-4523-81CF-BE2524228F21}"/>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B07508FB-39FC-4F7E-8E31-994E647FBC65}"/>
    <cellStyle name="40% - Accent1 7 2 3" xfId="12162" xr:uid="{B621E4B1-51ED-47F3-A20B-F381E69DCECB}"/>
    <cellStyle name="40% - Accent1 7 3" xfId="5793" xr:uid="{00000000-0005-0000-0000-000059040000}"/>
    <cellStyle name="40% - Accent1 7 3 2" xfId="14235" xr:uid="{3A11D14E-66C2-47D1-89FA-19398786FD48}"/>
    <cellStyle name="40% - Accent1 7 4" xfId="10017" xr:uid="{6F3CB879-1452-4EE8-B980-1EA135C5E715}"/>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CD732A53-23E7-4331-B317-BD2BC6B54B4D}"/>
    <cellStyle name="40% - Accent1 8 2 3" xfId="12575" xr:uid="{51822747-6BB8-49BB-86E4-1B8D3D633E13}"/>
    <cellStyle name="40% - Accent1 8 3" xfId="6206" xr:uid="{00000000-0005-0000-0000-00005D040000}"/>
    <cellStyle name="40% - Accent1 8 3 2" xfId="14648" xr:uid="{CD8A92E5-18DE-4FEC-968B-8C80A69FEA5B}"/>
    <cellStyle name="40% - Accent1 8 4" xfId="10430" xr:uid="{D00C6117-266C-434A-937B-1B80D595E48A}"/>
    <cellStyle name="40% - Accent1 9" xfId="2312" xr:uid="{00000000-0005-0000-0000-00005E040000}"/>
    <cellStyle name="40% - Accent1 9 2" xfId="6619" xr:uid="{00000000-0005-0000-0000-00005F040000}"/>
    <cellStyle name="40% - Accent1 9 2 2" xfId="15061" xr:uid="{FB4BF12A-10AD-4D00-A2C7-0A3C023C15D2}"/>
    <cellStyle name="40% - Accent1 9 3" xfId="10843" xr:uid="{CAC6D059-3823-4A38-941B-046E1FD8CAC6}"/>
    <cellStyle name="40% - Accent2" xfId="57" builtinId="35" customBuiltin="1"/>
    <cellStyle name="40% - Accent2 10" xfId="4561" xr:uid="{00000000-0005-0000-0000-000061040000}"/>
    <cellStyle name="40% - Accent2 10 2" xfId="13003" xr:uid="{5550C62C-268D-469B-91AC-8BDA5BC113CF}"/>
    <cellStyle name="40% - Accent2 11" xfId="8785" xr:uid="{75803FA4-09EE-4737-9584-6A41F9BDDCEB}"/>
    <cellStyle name="40% - Accent2 2" xfId="58" xr:uid="{00000000-0005-0000-0000-000062040000}"/>
    <cellStyle name="40% - Accent2 2 10" xfId="8786" xr:uid="{0065FDDA-F4D2-4165-BFEE-EB2BF943F225}"/>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C735851F-D92A-4BA9-A2CE-F87A6CAB4627}"/>
    <cellStyle name="40% - Accent2 2 2 2 2 2 3" xfId="11347" xr:uid="{D37002B1-E849-49D7-BA9B-393935AA2A5B}"/>
    <cellStyle name="40% - Accent2 2 2 2 2 3" xfId="4978" xr:uid="{00000000-0005-0000-0000-000068040000}"/>
    <cellStyle name="40% - Accent2 2 2 2 2 3 2" xfId="13420" xr:uid="{3E56F29D-89E1-41F0-8F5F-73F91EC7C3F7}"/>
    <cellStyle name="40% - Accent2 2 2 2 2 4" xfId="9202" xr:uid="{201D19B1-B4BE-44B3-A666-54E55CA73E3C}"/>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3D41F9C3-F4C7-4159-A34E-B9BA6F4A1D10}"/>
    <cellStyle name="40% - Accent2 2 2 2 3 2 3" xfId="11760" xr:uid="{E8F76AFC-CD30-443C-9608-4AF327242E33}"/>
    <cellStyle name="40% - Accent2 2 2 2 3 3" xfId="5391" xr:uid="{00000000-0005-0000-0000-00006C040000}"/>
    <cellStyle name="40% - Accent2 2 2 2 3 3 2" xfId="13833" xr:uid="{6527471D-DFF6-4515-A375-B521BD885A6B}"/>
    <cellStyle name="40% - Accent2 2 2 2 3 4" xfId="9615" xr:uid="{568D34D4-409C-465D-A49C-AF4BF486F246}"/>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BD7B54B9-E313-4061-9208-8F20D165C1DF}"/>
    <cellStyle name="40% - Accent2 2 2 2 4 2 3" xfId="12173" xr:uid="{EEB7CD80-7FE1-484A-BF26-97C29511EB89}"/>
    <cellStyle name="40% - Accent2 2 2 2 4 3" xfId="5804" xr:uid="{00000000-0005-0000-0000-000070040000}"/>
    <cellStyle name="40% - Accent2 2 2 2 4 3 2" xfId="14246" xr:uid="{072A8EE8-1256-4431-A1EA-0CF31BC3CD94}"/>
    <cellStyle name="40% - Accent2 2 2 2 4 4" xfId="10028" xr:uid="{185C9559-137E-4ED3-890F-F9CA78F759F7}"/>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15526A4E-CE86-4F62-976B-A4E1776EC107}"/>
    <cellStyle name="40% - Accent2 2 2 2 5 2 3" xfId="12586" xr:uid="{B72E4D6E-93CD-494F-80D4-67E0592F7B3B}"/>
    <cellStyle name="40% - Accent2 2 2 2 5 3" xfId="6217" xr:uid="{00000000-0005-0000-0000-000074040000}"/>
    <cellStyle name="40% - Accent2 2 2 2 5 3 2" xfId="14659" xr:uid="{AA1D47C3-3FA2-4BCF-B4E7-5337EE7BEDAD}"/>
    <cellStyle name="40% - Accent2 2 2 2 5 4" xfId="10441" xr:uid="{B40BF17A-581E-4766-B65D-7DC76130C691}"/>
    <cellStyle name="40% - Accent2 2 2 2 6" xfId="2323" xr:uid="{00000000-0005-0000-0000-000075040000}"/>
    <cellStyle name="40% - Accent2 2 2 2 6 2" xfId="6630" xr:uid="{00000000-0005-0000-0000-000076040000}"/>
    <cellStyle name="40% - Accent2 2 2 2 6 2 2" xfId="15072" xr:uid="{2692B0DE-C5B6-416E-AE2D-9E4035227073}"/>
    <cellStyle name="40% - Accent2 2 2 2 6 3" xfId="10854" xr:uid="{889D1B6C-F956-47A3-9B1E-321903C2F405}"/>
    <cellStyle name="40% - Accent2 2 2 2 7" xfId="4564" xr:uid="{00000000-0005-0000-0000-000077040000}"/>
    <cellStyle name="40% - Accent2 2 2 2 7 2" xfId="13006" xr:uid="{C417701D-F862-4993-91AB-369D6E3FE78D}"/>
    <cellStyle name="40% - Accent2 2 2 2 8" xfId="8788" xr:uid="{4C7D3FB4-EF9F-4291-9557-5AF693AF69D4}"/>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962DC5EC-3A75-4BA2-ACC0-3735D2A1E16E}"/>
    <cellStyle name="40% - Accent2 2 2 3 2 3" xfId="11346" xr:uid="{919440AE-0092-4977-9747-3F46EA9BC0AB}"/>
    <cellStyle name="40% - Accent2 2 2 3 3" xfId="4977" xr:uid="{00000000-0005-0000-0000-00007B040000}"/>
    <cellStyle name="40% - Accent2 2 2 3 3 2" xfId="13419" xr:uid="{9FA958D8-AB99-44D5-BCFF-7BDFC7E767DD}"/>
    <cellStyle name="40% - Accent2 2 2 3 4" xfId="9201" xr:uid="{D8012E49-AC4E-4419-B9F1-50BFBC6CDF7E}"/>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E565FADC-1210-4922-BAC1-2323E6AC6C42}"/>
    <cellStyle name="40% - Accent2 2 2 4 2 3" xfId="11759" xr:uid="{BE7D6064-F489-4424-BEC2-F10AD4BFDD03}"/>
    <cellStyle name="40% - Accent2 2 2 4 3" xfId="5390" xr:uid="{00000000-0005-0000-0000-00007F040000}"/>
    <cellStyle name="40% - Accent2 2 2 4 3 2" xfId="13832" xr:uid="{34EE6C14-D2B4-4826-BE6F-803352B4E407}"/>
    <cellStyle name="40% - Accent2 2 2 4 4" xfId="9614" xr:uid="{DCEF2826-70F4-4E41-BC69-56FBFD76B5C3}"/>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811F4DB8-CD45-41DE-9728-C30BD20F5558}"/>
    <cellStyle name="40% - Accent2 2 2 5 2 3" xfId="12172" xr:uid="{D3C8EB83-9697-4261-99EB-74E09D214D64}"/>
    <cellStyle name="40% - Accent2 2 2 5 3" xfId="5803" xr:uid="{00000000-0005-0000-0000-000083040000}"/>
    <cellStyle name="40% - Accent2 2 2 5 3 2" xfId="14245" xr:uid="{ACDE38EE-BA0C-4E86-AD7C-FAC955B1D2E1}"/>
    <cellStyle name="40% - Accent2 2 2 5 4" xfId="10027" xr:uid="{F2CAF06C-CB0A-4DA5-9119-CD7EC2DB727D}"/>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250FACF7-06B3-4645-9F9B-94CE3FF85280}"/>
    <cellStyle name="40% - Accent2 2 2 6 2 3" xfId="12585" xr:uid="{CF73890D-5D56-445E-A54C-F980D7113C5D}"/>
    <cellStyle name="40% - Accent2 2 2 6 3" xfId="6216" xr:uid="{00000000-0005-0000-0000-000087040000}"/>
    <cellStyle name="40% - Accent2 2 2 6 3 2" xfId="14658" xr:uid="{BCD4BA31-4DBA-4574-B8C0-47D7B3B6403F}"/>
    <cellStyle name="40% - Accent2 2 2 6 4" xfId="10440" xr:uid="{AE176E1F-BB74-4A89-B533-D761E88ED29D}"/>
    <cellStyle name="40% - Accent2 2 2 7" xfId="2322" xr:uid="{00000000-0005-0000-0000-000088040000}"/>
    <cellStyle name="40% - Accent2 2 2 7 2" xfId="6629" xr:uid="{00000000-0005-0000-0000-000089040000}"/>
    <cellStyle name="40% - Accent2 2 2 7 2 2" xfId="15071" xr:uid="{F30216A5-0748-48D6-8212-531C20C8EF81}"/>
    <cellStyle name="40% - Accent2 2 2 7 3" xfId="10853" xr:uid="{5E0D3AFF-88B8-4F0A-A1E3-49B24AD423DB}"/>
    <cellStyle name="40% - Accent2 2 2 8" xfId="4563" xr:uid="{00000000-0005-0000-0000-00008A040000}"/>
    <cellStyle name="40% - Accent2 2 2 8 2" xfId="13005" xr:uid="{AA6D23F0-674C-49A7-9256-931086E043C7}"/>
    <cellStyle name="40% - Accent2 2 2 9" xfId="8787" xr:uid="{D3A45D1A-726D-4BDD-B1F5-E53C61DE34B8}"/>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62726BD6-77AB-4613-9B97-886B8E748751}"/>
    <cellStyle name="40% - Accent2 2 3 2 2 3" xfId="11348" xr:uid="{857F5064-D42F-4DE3-BCDC-518F259AF81A}"/>
    <cellStyle name="40% - Accent2 2 3 2 3" xfId="4979" xr:uid="{00000000-0005-0000-0000-00008F040000}"/>
    <cellStyle name="40% - Accent2 2 3 2 3 2" xfId="13421" xr:uid="{AA56AD96-A365-4832-B028-4B92097A8535}"/>
    <cellStyle name="40% - Accent2 2 3 2 4" xfId="9203" xr:uid="{15BC53D9-16AE-4640-80A1-9BAFFC953C24}"/>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4FB34B12-A298-404A-A83C-5CE1880DF974}"/>
    <cellStyle name="40% - Accent2 2 3 3 2 3" xfId="11761" xr:uid="{297F63D0-C991-40DF-9D45-82593D955F74}"/>
    <cellStyle name="40% - Accent2 2 3 3 3" xfId="5392" xr:uid="{00000000-0005-0000-0000-000093040000}"/>
    <cellStyle name="40% - Accent2 2 3 3 3 2" xfId="13834" xr:uid="{8025CD24-87BE-41D1-9042-8B77CA7E4A9B}"/>
    <cellStyle name="40% - Accent2 2 3 3 4" xfId="9616" xr:uid="{DED00758-D2E2-4F25-8EB4-07B781D214B6}"/>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00744D66-538F-41A0-BDCF-282113B0C649}"/>
    <cellStyle name="40% - Accent2 2 3 4 2 3" xfId="12174" xr:uid="{C016591E-1B8C-4767-AC91-70852E2A8EB7}"/>
    <cellStyle name="40% - Accent2 2 3 4 3" xfId="5805" xr:uid="{00000000-0005-0000-0000-000097040000}"/>
    <cellStyle name="40% - Accent2 2 3 4 3 2" xfId="14247" xr:uid="{1E11A6A0-4F34-4F96-8F41-C0F69DA53BBD}"/>
    <cellStyle name="40% - Accent2 2 3 4 4" xfId="10029" xr:uid="{EC14BDB1-D61A-42DC-8CF2-D879B5F1353A}"/>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04D6160A-BD7F-4011-8E2C-0B523154F7D8}"/>
    <cellStyle name="40% - Accent2 2 3 5 2 3" xfId="12587" xr:uid="{865A5397-A4C9-47CB-9BCE-A22871B37F18}"/>
    <cellStyle name="40% - Accent2 2 3 5 3" xfId="6218" xr:uid="{00000000-0005-0000-0000-00009B040000}"/>
    <cellStyle name="40% - Accent2 2 3 5 3 2" xfId="14660" xr:uid="{0887A48B-CE25-46A8-B3AA-5E4520540F92}"/>
    <cellStyle name="40% - Accent2 2 3 5 4" xfId="10442" xr:uid="{B2CBCDE7-5B39-4140-A881-53EB25F98885}"/>
    <cellStyle name="40% - Accent2 2 3 6" xfId="2324" xr:uid="{00000000-0005-0000-0000-00009C040000}"/>
    <cellStyle name="40% - Accent2 2 3 6 2" xfId="6631" xr:uid="{00000000-0005-0000-0000-00009D040000}"/>
    <cellStyle name="40% - Accent2 2 3 6 2 2" xfId="15073" xr:uid="{1C020774-1193-454F-A85E-AA7C2CAE8F84}"/>
    <cellStyle name="40% - Accent2 2 3 6 3" xfId="10855" xr:uid="{3B21F235-F790-4606-89D1-8D536330A6B8}"/>
    <cellStyle name="40% - Accent2 2 3 7" xfId="4565" xr:uid="{00000000-0005-0000-0000-00009E040000}"/>
    <cellStyle name="40% - Accent2 2 3 7 2" xfId="13007" xr:uid="{4D300E4C-3EAD-4BC0-B663-E947998BF7AA}"/>
    <cellStyle name="40% - Accent2 2 3 8" xfId="8789" xr:uid="{EA573E85-A005-4F86-92DC-DD196B21FB2F}"/>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A84A8148-B489-45C9-A6EE-5240C9B47593}"/>
    <cellStyle name="40% - Accent2 2 4 2 3" xfId="11345" xr:uid="{A6A9359F-B1FA-4126-A67A-EBBA8B876777}"/>
    <cellStyle name="40% - Accent2 2 4 3" xfId="4976" xr:uid="{00000000-0005-0000-0000-0000A2040000}"/>
    <cellStyle name="40% - Accent2 2 4 3 2" xfId="13418" xr:uid="{43966939-BA5D-46C6-B83A-5A4C2990BDAD}"/>
    <cellStyle name="40% - Accent2 2 4 4" xfId="9200" xr:uid="{A2354E1A-5DDC-4141-B241-BBD1B271E090}"/>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BC45B603-F568-4D5A-93B6-462D2868D9DB}"/>
    <cellStyle name="40% - Accent2 2 5 2 3" xfId="11758" xr:uid="{85E4CAE3-5E96-43B4-B13A-E5F0113C3A0E}"/>
    <cellStyle name="40% - Accent2 2 5 3" xfId="5389" xr:uid="{00000000-0005-0000-0000-0000A6040000}"/>
    <cellStyle name="40% - Accent2 2 5 3 2" xfId="13831" xr:uid="{4F41137F-C807-4FC6-804A-DE62B0B83119}"/>
    <cellStyle name="40% - Accent2 2 5 4" xfId="9613" xr:uid="{1ED1F1F5-10CD-4028-8D62-A49FA59BDE34}"/>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C9415740-042F-4812-B973-714564A844D0}"/>
    <cellStyle name="40% - Accent2 2 6 2 3" xfId="12171" xr:uid="{3502A78A-CC8B-47E1-A6DA-AF1867BA22D0}"/>
    <cellStyle name="40% - Accent2 2 6 3" xfId="5802" xr:uid="{00000000-0005-0000-0000-0000AA040000}"/>
    <cellStyle name="40% - Accent2 2 6 3 2" xfId="14244" xr:uid="{3F16AA35-4621-4DE9-99B2-C6AA2CF6D822}"/>
    <cellStyle name="40% - Accent2 2 6 4" xfId="10026" xr:uid="{C909FD1F-EA6D-42D5-B258-87ACD84DADFF}"/>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4F9AB893-C799-4C17-A4FF-D0F01151273C}"/>
    <cellStyle name="40% - Accent2 2 7 2 3" xfId="12584" xr:uid="{7E64BE79-0E86-44C3-8B19-B25B6954BE09}"/>
    <cellStyle name="40% - Accent2 2 7 3" xfId="6215" xr:uid="{00000000-0005-0000-0000-0000AE040000}"/>
    <cellStyle name="40% - Accent2 2 7 3 2" xfId="14657" xr:uid="{9535A071-47FB-4D07-8576-B75D689918BE}"/>
    <cellStyle name="40% - Accent2 2 7 4" xfId="10439" xr:uid="{260437E2-7916-482B-961A-971C26ABD67C}"/>
    <cellStyle name="40% - Accent2 2 8" xfId="2321" xr:uid="{00000000-0005-0000-0000-0000AF040000}"/>
    <cellStyle name="40% - Accent2 2 8 2" xfId="6628" xr:uid="{00000000-0005-0000-0000-0000B0040000}"/>
    <cellStyle name="40% - Accent2 2 8 2 2" xfId="15070" xr:uid="{501A9602-6522-4B4D-A0A8-FA0CC8FB7D2A}"/>
    <cellStyle name="40% - Accent2 2 8 3" xfId="10852" xr:uid="{CCDA2D8F-F9DE-4F49-B269-F4CCFA5E1C2F}"/>
    <cellStyle name="40% - Accent2 2 9" xfId="4562" xr:uid="{00000000-0005-0000-0000-0000B1040000}"/>
    <cellStyle name="40% - Accent2 2 9 2" xfId="13004" xr:uid="{7A0E1448-CD1A-4B12-843E-9D925007B9F7}"/>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6680E600-5F9D-4C4F-BA3B-AB0A26241180}"/>
    <cellStyle name="40% - Accent2 3 2 2 2 3" xfId="11350" xr:uid="{F8BA2BAC-6298-46E2-8E51-CD2ED4759EBB}"/>
    <cellStyle name="40% - Accent2 3 2 2 3" xfId="4981" xr:uid="{00000000-0005-0000-0000-0000B7040000}"/>
    <cellStyle name="40% - Accent2 3 2 2 3 2" xfId="13423" xr:uid="{E1A64296-9F3D-40E2-9D1C-E095DEB5B526}"/>
    <cellStyle name="40% - Accent2 3 2 2 4" xfId="9205" xr:uid="{7254D2A0-CB59-477B-8F7E-11855E06F749}"/>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7FE034EA-0098-460F-9206-58EF03A93BB5}"/>
    <cellStyle name="40% - Accent2 3 2 3 2 3" xfId="11763" xr:uid="{EE46B2BC-487E-4D7A-93D0-056A7F8F9964}"/>
    <cellStyle name="40% - Accent2 3 2 3 3" xfId="5394" xr:uid="{00000000-0005-0000-0000-0000BB040000}"/>
    <cellStyle name="40% - Accent2 3 2 3 3 2" xfId="13836" xr:uid="{43C99517-D63F-487D-8899-CABF8AA8738A}"/>
    <cellStyle name="40% - Accent2 3 2 3 4" xfId="9618" xr:uid="{779F7B76-23E0-4F89-9F0A-9175D59B9F67}"/>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052FBCB7-FAD6-4BC5-8A1A-78FD395290E1}"/>
    <cellStyle name="40% - Accent2 3 2 4 2 3" xfId="12176" xr:uid="{23956B37-0C70-44FC-A059-D4D3233C6320}"/>
    <cellStyle name="40% - Accent2 3 2 4 3" xfId="5807" xr:uid="{00000000-0005-0000-0000-0000BF040000}"/>
    <cellStyle name="40% - Accent2 3 2 4 3 2" xfId="14249" xr:uid="{F02EECA7-4476-453D-A911-5EF06D389CE4}"/>
    <cellStyle name="40% - Accent2 3 2 4 4" xfId="10031" xr:uid="{4A97A5FC-BCA3-48B1-AAC7-EEFF44A31E41}"/>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3E33CF46-18AD-4CA7-B70F-96B444A83631}"/>
    <cellStyle name="40% - Accent2 3 2 5 2 3" xfId="12589" xr:uid="{2598A753-E8CB-4610-8D48-D1F4FC72C31C}"/>
    <cellStyle name="40% - Accent2 3 2 5 3" xfId="6220" xr:uid="{00000000-0005-0000-0000-0000C3040000}"/>
    <cellStyle name="40% - Accent2 3 2 5 3 2" xfId="14662" xr:uid="{616D8BEA-8F3C-4E8F-8EFC-CE32191247F7}"/>
    <cellStyle name="40% - Accent2 3 2 5 4" xfId="10444" xr:uid="{09FF0170-0332-4353-B3E0-B3768634B748}"/>
    <cellStyle name="40% - Accent2 3 2 6" xfId="2326" xr:uid="{00000000-0005-0000-0000-0000C4040000}"/>
    <cellStyle name="40% - Accent2 3 2 6 2" xfId="6633" xr:uid="{00000000-0005-0000-0000-0000C5040000}"/>
    <cellStyle name="40% - Accent2 3 2 6 2 2" xfId="15075" xr:uid="{C1512EE9-701B-49EA-9119-D08C0A5E63CA}"/>
    <cellStyle name="40% - Accent2 3 2 6 3" xfId="10857" xr:uid="{7124434C-1C8D-4583-8C05-CBC05B647419}"/>
    <cellStyle name="40% - Accent2 3 2 7" xfId="4567" xr:uid="{00000000-0005-0000-0000-0000C6040000}"/>
    <cellStyle name="40% - Accent2 3 2 7 2" xfId="13009" xr:uid="{77858D22-09DF-4327-9F4A-49AB8F7F955B}"/>
    <cellStyle name="40% - Accent2 3 2 8" xfId="8791" xr:uid="{4C5E4E3B-A8CC-4632-B1DF-D8CB14F2CE9E}"/>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C6A009BE-21E9-461A-8B61-0F1DD4C0BBA5}"/>
    <cellStyle name="40% - Accent2 3 3 2 3" xfId="11349" xr:uid="{97093332-D215-46CC-9E15-36333CA8D108}"/>
    <cellStyle name="40% - Accent2 3 3 3" xfId="4980" xr:uid="{00000000-0005-0000-0000-0000CA040000}"/>
    <cellStyle name="40% - Accent2 3 3 3 2" xfId="13422" xr:uid="{C8F6280F-06A9-4D21-B9BB-71B6597E90B3}"/>
    <cellStyle name="40% - Accent2 3 3 4" xfId="9204" xr:uid="{BDF053B3-4565-484F-A978-D2E506D45302}"/>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4EFA3C72-2D64-44D2-8146-3F28BB62901B}"/>
    <cellStyle name="40% - Accent2 3 4 2 3" xfId="11762" xr:uid="{981B42AE-0F0F-49C2-9F47-A4C9C1C68905}"/>
    <cellStyle name="40% - Accent2 3 4 3" xfId="5393" xr:uid="{00000000-0005-0000-0000-0000CE040000}"/>
    <cellStyle name="40% - Accent2 3 4 3 2" xfId="13835" xr:uid="{1C487285-53C4-40C3-9DF3-EEACAB4E2212}"/>
    <cellStyle name="40% - Accent2 3 4 4" xfId="9617" xr:uid="{F1366ED4-0BFB-41E9-B91E-F0B2768D639B}"/>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9C4549BE-2FAF-47C2-BBB6-431670FAD6C4}"/>
    <cellStyle name="40% - Accent2 3 5 2 3" xfId="12175" xr:uid="{61B0B7B6-5F4B-4F00-A0B5-E64CFA5732B8}"/>
    <cellStyle name="40% - Accent2 3 5 3" xfId="5806" xr:uid="{00000000-0005-0000-0000-0000D2040000}"/>
    <cellStyle name="40% - Accent2 3 5 3 2" xfId="14248" xr:uid="{92EE5EC0-2457-4BC8-904E-67C608924657}"/>
    <cellStyle name="40% - Accent2 3 5 4" xfId="10030" xr:uid="{79BDFDE5-80A9-444B-BF82-D3AAFA981243}"/>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9E4C372F-4926-4AF2-829E-3C517DB78645}"/>
    <cellStyle name="40% - Accent2 3 6 2 3" xfId="12588" xr:uid="{B38CEFAA-17AD-4657-9CCD-2184D9AFEE08}"/>
    <cellStyle name="40% - Accent2 3 6 3" xfId="6219" xr:uid="{00000000-0005-0000-0000-0000D6040000}"/>
    <cellStyle name="40% - Accent2 3 6 3 2" xfId="14661" xr:uid="{ABB6971B-13E7-46AE-9177-350F371440C3}"/>
    <cellStyle name="40% - Accent2 3 6 4" xfId="10443" xr:uid="{BE942BFB-FF25-4091-83C6-824B1589A869}"/>
    <cellStyle name="40% - Accent2 3 7" xfId="2325" xr:uid="{00000000-0005-0000-0000-0000D7040000}"/>
    <cellStyle name="40% - Accent2 3 7 2" xfId="6632" xr:uid="{00000000-0005-0000-0000-0000D8040000}"/>
    <cellStyle name="40% - Accent2 3 7 2 2" xfId="15074" xr:uid="{C5A8A495-DB2E-4DA0-8B10-BE669A4A9C20}"/>
    <cellStyle name="40% - Accent2 3 7 3" xfId="10856" xr:uid="{09C703F9-D7B0-45A8-BEC2-FBD40C27C7EE}"/>
    <cellStyle name="40% - Accent2 3 8" xfId="4566" xr:uid="{00000000-0005-0000-0000-0000D9040000}"/>
    <cellStyle name="40% - Accent2 3 8 2" xfId="13008" xr:uid="{8238985D-6F66-4668-A2EC-57B10131A244}"/>
    <cellStyle name="40% - Accent2 3 9" xfId="8790" xr:uid="{A3BD69DE-6167-4A65-BF82-33173D741C87}"/>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F4D632C2-74A4-49BA-8F75-E6152E399B01}"/>
    <cellStyle name="40% - Accent2 4 2 2 3" xfId="11351" xr:uid="{2D9A7182-EB56-4160-8EB0-14DEE2E15935}"/>
    <cellStyle name="40% - Accent2 4 2 3" xfId="4982" xr:uid="{00000000-0005-0000-0000-0000DE040000}"/>
    <cellStyle name="40% - Accent2 4 2 3 2" xfId="13424" xr:uid="{7C00900B-3E85-404A-89FE-FF9BCF7F7283}"/>
    <cellStyle name="40% - Accent2 4 2 4" xfId="9206" xr:uid="{B8A265D1-9312-43E5-B90D-4FFFAC54A945}"/>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DF0B667C-04E3-46FD-B926-F6DF325E6E52}"/>
    <cellStyle name="40% - Accent2 4 3 2 3" xfId="11764" xr:uid="{572CCB8C-8308-4100-895E-07C514E0867C}"/>
    <cellStyle name="40% - Accent2 4 3 3" xfId="5395" xr:uid="{00000000-0005-0000-0000-0000E2040000}"/>
    <cellStyle name="40% - Accent2 4 3 3 2" xfId="13837" xr:uid="{98558201-6022-48EF-85E8-C364D1FDE209}"/>
    <cellStyle name="40% - Accent2 4 3 4" xfId="9619" xr:uid="{F9C26E84-C16A-4F0E-B73F-B9A47E46FA1F}"/>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EC554494-E888-4745-8C9B-0B2ED3958B6F}"/>
    <cellStyle name="40% - Accent2 4 4 2 3" xfId="12177" xr:uid="{FA9506A1-0FEA-4A83-975C-D4E9AF1B6F97}"/>
    <cellStyle name="40% - Accent2 4 4 3" xfId="5808" xr:uid="{00000000-0005-0000-0000-0000E6040000}"/>
    <cellStyle name="40% - Accent2 4 4 3 2" xfId="14250" xr:uid="{4DE21069-AF84-4F0B-B6DE-6630DCEECC66}"/>
    <cellStyle name="40% - Accent2 4 4 4" xfId="10032" xr:uid="{AF2BE37E-9388-43A4-B25B-AEDEC4EC7A8D}"/>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978F435C-6FEC-42E0-802C-8B91EF320E16}"/>
    <cellStyle name="40% - Accent2 4 5 2 3" xfId="12590" xr:uid="{856AAA3C-B18B-4045-A0AE-BBB82CE48C1E}"/>
    <cellStyle name="40% - Accent2 4 5 3" xfId="6221" xr:uid="{00000000-0005-0000-0000-0000EA040000}"/>
    <cellStyle name="40% - Accent2 4 5 3 2" xfId="14663" xr:uid="{76B1AD10-0018-468E-AE6A-561093646CFB}"/>
    <cellStyle name="40% - Accent2 4 5 4" xfId="10445" xr:uid="{6D8420C1-F7A0-45EE-AE56-8EA5E4406DDC}"/>
    <cellStyle name="40% - Accent2 4 6" xfId="2327" xr:uid="{00000000-0005-0000-0000-0000EB040000}"/>
    <cellStyle name="40% - Accent2 4 6 2" xfId="6634" xr:uid="{00000000-0005-0000-0000-0000EC040000}"/>
    <cellStyle name="40% - Accent2 4 6 2 2" xfId="15076" xr:uid="{BBBC2E0C-080C-4866-A092-374F749A2301}"/>
    <cellStyle name="40% - Accent2 4 6 3" xfId="10858" xr:uid="{AF3EB309-92EA-4920-8A91-5DBECF67D854}"/>
    <cellStyle name="40% - Accent2 4 7" xfId="4568" xr:uid="{00000000-0005-0000-0000-0000ED040000}"/>
    <cellStyle name="40% - Accent2 4 7 2" xfId="13010" xr:uid="{BFFFE310-CC7F-407A-BDB8-A511B8CCBCA9}"/>
    <cellStyle name="40% - Accent2 4 8" xfId="8792" xr:uid="{4B0AD0CA-414E-4B8B-9887-4F041AEB3FCC}"/>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4B57365D-2B7B-4D44-8FEC-A17882E22F31}"/>
    <cellStyle name="40% - Accent2 5 2 3" xfId="11344" xr:uid="{AA42122E-6B86-4AF0-AD59-A4D28A0736B5}"/>
    <cellStyle name="40% - Accent2 5 3" xfId="4975" xr:uid="{00000000-0005-0000-0000-0000F1040000}"/>
    <cellStyle name="40% - Accent2 5 3 2" xfId="13417" xr:uid="{2F319DE1-56DA-4D51-A763-441F5B7E98AA}"/>
    <cellStyle name="40% - Accent2 5 4" xfId="9199" xr:uid="{891DC963-A98D-4956-9796-417413C24155}"/>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07C3A8FF-9BD4-469E-BDDB-9F23BF181905}"/>
    <cellStyle name="40% - Accent2 6 2 3" xfId="11757" xr:uid="{6E53307E-E511-4B83-88C4-75719977DE52}"/>
    <cellStyle name="40% - Accent2 6 3" xfId="5388" xr:uid="{00000000-0005-0000-0000-0000F5040000}"/>
    <cellStyle name="40% - Accent2 6 3 2" xfId="13830" xr:uid="{1CFF44D9-0F83-4627-9590-24DBD6E39BF7}"/>
    <cellStyle name="40% - Accent2 6 4" xfId="9612" xr:uid="{CE7BD938-3480-4DB8-A28B-42E0BEA9EE4D}"/>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68E2603B-0DFF-4C01-A074-024ADA86F6E1}"/>
    <cellStyle name="40% - Accent2 7 2 3" xfId="12170" xr:uid="{DAF520D9-71AA-4072-A496-EA4192C096B4}"/>
    <cellStyle name="40% - Accent2 7 3" xfId="5801" xr:uid="{00000000-0005-0000-0000-0000F9040000}"/>
    <cellStyle name="40% - Accent2 7 3 2" xfId="14243" xr:uid="{F1380B1C-6DC0-42E3-BA1D-5F0D14FEA897}"/>
    <cellStyle name="40% - Accent2 7 4" xfId="10025" xr:uid="{308DA888-CE5C-42B5-8D14-8997FC9C9B3C}"/>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E62E3AE4-0A71-410C-9A95-E8BC0CF2EEB2}"/>
    <cellStyle name="40% - Accent2 8 2 3" xfId="12583" xr:uid="{DC20CE89-BB3B-4FA6-8D35-054EF5D11D03}"/>
    <cellStyle name="40% - Accent2 8 3" xfId="6214" xr:uid="{00000000-0005-0000-0000-0000FD040000}"/>
    <cellStyle name="40% - Accent2 8 3 2" xfId="14656" xr:uid="{69867C60-CCBD-4EAB-A836-F07C7C949019}"/>
    <cellStyle name="40% - Accent2 8 4" xfId="10438" xr:uid="{9D391949-B565-49C5-AB6C-01FC20562AD7}"/>
    <cellStyle name="40% - Accent2 9" xfId="2320" xr:uid="{00000000-0005-0000-0000-0000FE040000}"/>
    <cellStyle name="40% - Accent2 9 2" xfId="6627" xr:uid="{00000000-0005-0000-0000-0000FF040000}"/>
    <cellStyle name="40% - Accent2 9 2 2" xfId="15069" xr:uid="{DF4E8DE5-0F83-4752-9522-F4388C9762FD}"/>
    <cellStyle name="40% - Accent2 9 3" xfId="10851" xr:uid="{D1891069-DE2A-42EF-8C74-FD7651A8C0B4}"/>
    <cellStyle name="40% - Accent3" xfId="65" builtinId="39" customBuiltin="1"/>
    <cellStyle name="40% - Accent3 10" xfId="4569" xr:uid="{00000000-0005-0000-0000-000001050000}"/>
    <cellStyle name="40% - Accent3 10 2" xfId="13011" xr:uid="{E939E0FB-BB24-48F0-8F48-7AF46B792C2E}"/>
    <cellStyle name="40% - Accent3 11" xfId="8793" xr:uid="{ABF8DD1E-8779-4610-8BB0-4A0D3ED1C3D5}"/>
    <cellStyle name="40% - Accent3 2" xfId="66" xr:uid="{00000000-0005-0000-0000-000002050000}"/>
    <cellStyle name="40% - Accent3 2 10" xfId="8794" xr:uid="{EFF93640-5957-4594-91B3-4380B1014488}"/>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789AFE39-633E-4CEF-8ED7-198FA13DFB74}"/>
    <cellStyle name="40% - Accent3 2 2 2 2 2 3" xfId="11355" xr:uid="{B2F5E129-0C19-4083-B7D2-5E179BF0057E}"/>
    <cellStyle name="40% - Accent3 2 2 2 2 3" xfId="4986" xr:uid="{00000000-0005-0000-0000-000008050000}"/>
    <cellStyle name="40% - Accent3 2 2 2 2 3 2" xfId="13428" xr:uid="{BDC58455-F6EE-4E33-ACF0-7AC595D3E2AD}"/>
    <cellStyle name="40% - Accent3 2 2 2 2 4" xfId="9210" xr:uid="{A77CC6D4-44EF-4C8C-AA44-6C036BDAFD2F}"/>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BF4495E1-DA7F-4D2C-B55A-2314AEB655F4}"/>
    <cellStyle name="40% - Accent3 2 2 2 3 2 3" xfId="11768" xr:uid="{F3C92783-2A46-48B3-B562-AB33ABE54A05}"/>
    <cellStyle name="40% - Accent3 2 2 2 3 3" xfId="5399" xr:uid="{00000000-0005-0000-0000-00000C050000}"/>
    <cellStyle name="40% - Accent3 2 2 2 3 3 2" xfId="13841" xr:uid="{1D468A67-1112-427D-BC9C-B3E918A66FBD}"/>
    <cellStyle name="40% - Accent3 2 2 2 3 4" xfId="9623" xr:uid="{696F3F80-58CF-4738-A766-ECB0B24F44AB}"/>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BC23FB0C-580E-4CCF-BFC7-09CB853531E0}"/>
    <cellStyle name="40% - Accent3 2 2 2 4 2 3" xfId="12181" xr:uid="{EFE05720-A182-41D3-B580-89EE2BBC0EBA}"/>
    <cellStyle name="40% - Accent3 2 2 2 4 3" xfId="5812" xr:uid="{00000000-0005-0000-0000-000010050000}"/>
    <cellStyle name="40% - Accent3 2 2 2 4 3 2" xfId="14254" xr:uid="{97D849F6-C45D-4838-87CE-656D9BAEB548}"/>
    <cellStyle name="40% - Accent3 2 2 2 4 4" xfId="10036" xr:uid="{03EBD1E7-7C61-40AE-B036-2246E5775D2F}"/>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0D43FD2A-6E1F-4233-B396-30EBDEE5A972}"/>
    <cellStyle name="40% - Accent3 2 2 2 5 2 3" xfId="12594" xr:uid="{38DC9128-C53E-4A50-B1F9-D4703CAE5907}"/>
    <cellStyle name="40% - Accent3 2 2 2 5 3" xfId="6225" xr:uid="{00000000-0005-0000-0000-000014050000}"/>
    <cellStyle name="40% - Accent3 2 2 2 5 3 2" xfId="14667" xr:uid="{2BE53B93-3D48-44B6-8B4C-BF744B6F7F92}"/>
    <cellStyle name="40% - Accent3 2 2 2 5 4" xfId="10449" xr:uid="{016F12C3-C5FB-4AF0-A428-C84F334909AC}"/>
    <cellStyle name="40% - Accent3 2 2 2 6" xfId="2331" xr:uid="{00000000-0005-0000-0000-000015050000}"/>
    <cellStyle name="40% - Accent3 2 2 2 6 2" xfId="6638" xr:uid="{00000000-0005-0000-0000-000016050000}"/>
    <cellStyle name="40% - Accent3 2 2 2 6 2 2" xfId="15080" xr:uid="{D1B8B24D-EA21-4D73-A0B9-E76ABA7CB2FB}"/>
    <cellStyle name="40% - Accent3 2 2 2 6 3" xfId="10862" xr:uid="{651AA880-86B8-4699-8A3A-2B490E5B3429}"/>
    <cellStyle name="40% - Accent3 2 2 2 7" xfId="4572" xr:uid="{00000000-0005-0000-0000-000017050000}"/>
    <cellStyle name="40% - Accent3 2 2 2 7 2" xfId="13014" xr:uid="{94DE0CFF-2EC0-4ABA-A159-09040265B85A}"/>
    <cellStyle name="40% - Accent3 2 2 2 8" xfId="8796" xr:uid="{6E511D28-0727-405A-9379-98E8010099C5}"/>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11BF8136-9067-4742-AF06-8491B0D6738D}"/>
    <cellStyle name="40% - Accent3 2 2 3 2 3" xfId="11354" xr:uid="{B12AADAB-FF74-456A-BC76-3C6F958A3BE9}"/>
    <cellStyle name="40% - Accent3 2 2 3 3" xfId="4985" xr:uid="{00000000-0005-0000-0000-00001B050000}"/>
    <cellStyle name="40% - Accent3 2 2 3 3 2" xfId="13427" xr:uid="{613AB750-8BE7-416B-BCC8-95B75D61FC36}"/>
    <cellStyle name="40% - Accent3 2 2 3 4" xfId="9209" xr:uid="{BE729E23-4900-428F-B973-1A6660C4F0D5}"/>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554831A8-7443-4CA5-9F65-7C5AA043B015}"/>
    <cellStyle name="40% - Accent3 2 2 4 2 3" xfId="11767" xr:uid="{E5AA3D53-34ED-47B4-810F-5EEC844E0A8C}"/>
    <cellStyle name="40% - Accent3 2 2 4 3" xfId="5398" xr:uid="{00000000-0005-0000-0000-00001F050000}"/>
    <cellStyle name="40% - Accent3 2 2 4 3 2" xfId="13840" xr:uid="{9429BED4-9A07-449C-BEA4-490D65D1F59A}"/>
    <cellStyle name="40% - Accent3 2 2 4 4" xfId="9622" xr:uid="{C44C4574-9A3D-4476-BE84-D844E0F5E7DB}"/>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2E04F8CF-50FD-4A33-8962-ABF71B3A7A29}"/>
    <cellStyle name="40% - Accent3 2 2 5 2 3" xfId="12180" xr:uid="{B10D580E-D869-4794-BBE9-06E1FD6187E3}"/>
    <cellStyle name="40% - Accent3 2 2 5 3" xfId="5811" xr:uid="{00000000-0005-0000-0000-000023050000}"/>
    <cellStyle name="40% - Accent3 2 2 5 3 2" xfId="14253" xr:uid="{41B9F2FB-57C0-4C2B-A6A6-C1FCF999E43E}"/>
    <cellStyle name="40% - Accent3 2 2 5 4" xfId="10035" xr:uid="{E614B4FA-A6DE-43BD-A0DC-EF06745BF70D}"/>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3B024DFD-0FCB-4EA3-B159-E3F812DDD91F}"/>
    <cellStyle name="40% - Accent3 2 2 6 2 3" xfId="12593" xr:uid="{98808319-F571-4243-A17F-D060B94C8C5E}"/>
    <cellStyle name="40% - Accent3 2 2 6 3" xfId="6224" xr:uid="{00000000-0005-0000-0000-000027050000}"/>
    <cellStyle name="40% - Accent3 2 2 6 3 2" xfId="14666" xr:uid="{11B25806-4AEA-4220-98D5-64BB4815CE57}"/>
    <cellStyle name="40% - Accent3 2 2 6 4" xfId="10448" xr:uid="{FF86990D-1E6F-453A-8268-C1C22DA1983A}"/>
    <cellStyle name="40% - Accent3 2 2 7" xfId="2330" xr:uid="{00000000-0005-0000-0000-000028050000}"/>
    <cellStyle name="40% - Accent3 2 2 7 2" xfId="6637" xr:uid="{00000000-0005-0000-0000-000029050000}"/>
    <cellStyle name="40% - Accent3 2 2 7 2 2" xfId="15079" xr:uid="{E8F0558A-6498-42A5-A56A-BCF5FDC90036}"/>
    <cellStyle name="40% - Accent3 2 2 7 3" xfId="10861" xr:uid="{242050C7-C36E-4DB5-BD52-EFBE74B2E50B}"/>
    <cellStyle name="40% - Accent3 2 2 8" xfId="4571" xr:uid="{00000000-0005-0000-0000-00002A050000}"/>
    <cellStyle name="40% - Accent3 2 2 8 2" xfId="13013" xr:uid="{4C56192B-9716-49EA-AFFD-18F08ED4575E}"/>
    <cellStyle name="40% - Accent3 2 2 9" xfId="8795" xr:uid="{1AF28A46-67DC-46AF-88A1-D5A0D548F094}"/>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BE2ED182-CFBE-494F-A3CD-B430661AF6DA}"/>
    <cellStyle name="40% - Accent3 2 3 2 2 3" xfId="11356" xr:uid="{73D6297D-889B-4ACB-AD41-A059A95B1AD8}"/>
    <cellStyle name="40% - Accent3 2 3 2 3" xfId="4987" xr:uid="{00000000-0005-0000-0000-00002F050000}"/>
    <cellStyle name="40% - Accent3 2 3 2 3 2" xfId="13429" xr:uid="{837C36B4-8FFD-47BF-BEAC-E1CE85C33930}"/>
    <cellStyle name="40% - Accent3 2 3 2 4" xfId="9211" xr:uid="{DE41B63A-3074-40CC-9E52-0CB1EF22CE73}"/>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3ED99C84-52C2-40D9-9452-8040D1C8D18D}"/>
    <cellStyle name="40% - Accent3 2 3 3 2 3" xfId="11769" xr:uid="{50963EA2-65D6-48BC-A3C6-CAEA4DC430D0}"/>
    <cellStyle name="40% - Accent3 2 3 3 3" xfId="5400" xr:uid="{00000000-0005-0000-0000-000033050000}"/>
    <cellStyle name="40% - Accent3 2 3 3 3 2" xfId="13842" xr:uid="{A04CE404-67B7-49DD-BADE-383504C9513C}"/>
    <cellStyle name="40% - Accent3 2 3 3 4" xfId="9624" xr:uid="{77371A70-7841-413A-847F-2C0E75EAAFB8}"/>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01468F90-6B9F-4C25-BC28-81F3586CD15E}"/>
    <cellStyle name="40% - Accent3 2 3 4 2 3" xfId="12182" xr:uid="{43B7B5C9-721B-438F-923A-CF7B68809A4E}"/>
    <cellStyle name="40% - Accent3 2 3 4 3" xfId="5813" xr:uid="{00000000-0005-0000-0000-000037050000}"/>
    <cellStyle name="40% - Accent3 2 3 4 3 2" xfId="14255" xr:uid="{667D7485-A896-40CA-9CE4-715D3D5BCEF4}"/>
    <cellStyle name="40% - Accent3 2 3 4 4" xfId="10037" xr:uid="{AFB73DFE-F0A1-46DC-B9DE-58DEC6764054}"/>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57BF7016-3D22-480C-AC1F-614AA8B04F07}"/>
    <cellStyle name="40% - Accent3 2 3 5 2 3" xfId="12595" xr:uid="{D26453BD-F737-4978-A7D7-256FD5CD6C96}"/>
    <cellStyle name="40% - Accent3 2 3 5 3" xfId="6226" xr:uid="{00000000-0005-0000-0000-00003B050000}"/>
    <cellStyle name="40% - Accent3 2 3 5 3 2" xfId="14668" xr:uid="{4B8A4D24-776F-4E79-A2E5-1E2DE36C621C}"/>
    <cellStyle name="40% - Accent3 2 3 5 4" xfId="10450" xr:uid="{B97D6F38-8232-408C-AD9A-5A2054C576D3}"/>
    <cellStyle name="40% - Accent3 2 3 6" xfId="2332" xr:uid="{00000000-0005-0000-0000-00003C050000}"/>
    <cellStyle name="40% - Accent3 2 3 6 2" xfId="6639" xr:uid="{00000000-0005-0000-0000-00003D050000}"/>
    <cellStyle name="40% - Accent3 2 3 6 2 2" xfId="15081" xr:uid="{A0581B5B-B891-41A1-A21A-47F6532D9A75}"/>
    <cellStyle name="40% - Accent3 2 3 6 3" xfId="10863" xr:uid="{1DDAE1C5-4206-4997-B463-3B439C341C18}"/>
    <cellStyle name="40% - Accent3 2 3 7" xfId="4573" xr:uid="{00000000-0005-0000-0000-00003E050000}"/>
    <cellStyle name="40% - Accent3 2 3 7 2" xfId="13015" xr:uid="{185D9635-1C9B-406E-8EC7-53AB9C47B501}"/>
    <cellStyle name="40% - Accent3 2 3 8" xfId="8797" xr:uid="{246D0D0C-228A-4BDA-AAEC-BFC01BCDAA06}"/>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00EBB76C-E9E7-4329-8E11-52085D666292}"/>
    <cellStyle name="40% - Accent3 2 4 2 3" xfId="11353" xr:uid="{E87727FB-65FF-4E6D-8BA5-32DE8559E245}"/>
    <cellStyle name="40% - Accent3 2 4 3" xfId="4984" xr:uid="{00000000-0005-0000-0000-000042050000}"/>
    <cellStyle name="40% - Accent3 2 4 3 2" xfId="13426" xr:uid="{4210DC5C-553C-4797-A17F-0317812B9BCC}"/>
    <cellStyle name="40% - Accent3 2 4 4" xfId="9208" xr:uid="{AE88DE3B-1E29-4ABD-824F-B3AFA2AF0634}"/>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67FDDC08-05E7-423C-B169-F5BA397DE6BB}"/>
    <cellStyle name="40% - Accent3 2 5 2 3" xfId="11766" xr:uid="{2710F1CE-3A5E-48B7-9235-E67761D2AE38}"/>
    <cellStyle name="40% - Accent3 2 5 3" xfId="5397" xr:uid="{00000000-0005-0000-0000-000046050000}"/>
    <cellStyle name="40% - Accent3 2 5 3 2" xfId="13839" xr:uid="{5DB1D8F9-9431-409B-A74E-FBB6D37144FB}"/>
    <cellStyle name="40% - Accent3 2 5 4" xfId="9621" xr:uid="{5799BDA7-DD20-4B56-8799-CD9DBE706A34}"/>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5B63100F-8B6D-45F6-8CDE-6E6090A2C940}"/>
    <cellStyle name="40% - Accent3 2 6 2 3" xfId="12179" xr:uid="{E4301785-0B8A-4D53-874B-CEE0E1ECD2A6}"/>
    <cellStyle name="40% - Accent3 2 6 3" xfId="5810" xr:uid="{00000000-0005-0000-0000-00004A050000}"/>
    <cellStyle name="40% - Accent3 2 6 3 2" xfId="14252" xr:uid="{223F58B5-B111-462F-86E1-801A999D520F}"/>
    <cellStyle name="40% - Accent3 2 6 4" xfId="10034" xr:uid="{63B06FA8-A4D5-4C88-BE1D-9E0EC559ACEB}"/>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E06F6C70-479E-4A2E-96AF-18839937B32F}"/>
    <cellStyle name="40% - Accent3 2 7 2 3" xfId="12592" xr:uid="{1AFB8C5D-91ED-497F-BF62-130AD9EC7D28}"/>
    <cellStyle name="40% - Accent3 2 7 3" xfId="6223" xr:uid="{00000000-0005-0000-0000-00004E050000}"/>
    <cellStyle name="40% - Accent3 2 7 3 2" xfId="14665" xr:uid="{6CEE6729-5915-4392-AA70-2C1F1F760E7B}"/>
    <cellStyle name="40% - Accent3 2 7 4" xfId="10447" xr:uid="{89316BAC-03F5-4F40-94E1-8F6456DDF89B}"/>
    <cellStyle name="40% - Accent3 2 8" xfId="2329" xr:uid="{00000000-0005-0000-0000-00004F050000}"/>
    <cellStyle name="40% - Accent3 2 8 2" xfId="6636" xr:uid="{00000000-0005-0000-0000-000050050000}"/>
    <cellStyle name="40% - Accent3 2 8 2 2" xfId="15078" xr:uid="{6E693C52-C1E8-41BE-BBB4-F74159BEE0DB}"/>
    <cellStyle name="40% - Accent3 2 8 3" xfId="10860" xr:uid="{042AF9AE-FDB0-4C61-AC1D-827C3235320F}"/>
    <cellStyle name="40% - Accent3 2 9" xfId="4570" xr:uid="{00000000-0005-0000-0000-000051050000}"/>
    <cellStyle name="40% - Accent3 2 9 2" xfId="13012" xr:uid="{D3891EE7-B3A2-46E7-961A-F1DBB29BA573}"/>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4FF9304F-320E-4407-A6AF-7670312B7FB6}"/>
    <cellStyle name="40% - Accent3 3 2 2 2 3" xfId="11358" xr:uid="{81428072-7EC4-4549-B2B9-317F5B0471C2}"/>
    <cellStyle name="40% - Accent3 3 2 2 3" xfId="4989" xr:uid="{00000000-0005-0000-0000-000057050000}"/>
    <cellStyle name="40% - Accent3 3 2 2 3 2" xfId="13431" xr:uid="{DE4B88EA-2A30-4C3F-8019-8B682AC59BCB}"/>
    <cellStyle name="40% - Accent3 3 2 2 4" xfId="9213" xr:uid="{E25EB4A9-EF3C-4CF4-92F0-158D1809F471}"/>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B22603A7-42F0-4541-9ABD-A57D48D901A6}"/>
    <cellStyle name="40% - Accent3 3 2 3 2 3" xfId="11771" xr:uid="{5689C57C-DCB2-4482-BC90-0BE58D45D768}"/>
    <cellStyle name="40% - Accent3 3 2 3 3" xfId="5402" xr:uid="{00000000-0005-0000-0000-00005B050000}"/>
    <cellStyle name="40% - Accent3 3 2 3 3 2" xfId="13844" xr:uid="{3DB728A1-6BEC-4F8C-837E-AF5B57A1C6FE}"/>
    <cellStyle name="40% - Accent3 3 2 3 4" xfId="9626" xr:uid="{DC1ABF8F-A050-4066-B03F-707248DE7EF2}"/>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986FA56E-28E9-4669-BC5C-9B7F151D1261}"/>
    <cellStyle name="40% - Accent3 3 2 4 2 3" xfId="12184" xr:uid="{6C87484B-8F52-4846-8831-200D1E6F0A11}"/>
    <cellStyle name="40% - Accent3 3 2 4 3" xfId="5815" xr:uid="{00000000-0005-0000-0000-00005F050000}"/>
    <cellStyle name="40% - Accent3 3 2 4 3 2" xfId="14257" xr:uid="{B9E61AE3-3756-4B29-AFE7-0E190A2012DA}"/>
    <cellStyle name="40% - Accent3 3 2 4 4" xfId="10039" xr:uid="{E9A42ECF-EF7B-451C-927E-EC334133E402}"/>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EF429222-8E17-4E50-A520-9A1CF1235AF4}"/>
    <cellStyle name="40% - Accent3 3 2 5 2 3" xfId="12597" xr:uid="{FD23251E-C5A9-4534-974D-AA06769A2492}"/>
    <cellStyle name="40% - Accent3 3 2 5 3" xfId="6228" xr:uid="{00000000-0005-0000-0000-000063050000}"/>
    <cellStyle name="40% - Accent3 3 2 5 3 2" xfId="14670" xr:uid="{3D9F377B-4D91-4D48-A214-1717A1F74C64}"/>
    <cellStyle name="40% - Accent3 3 2 5 4" xfId="10452" xr:uid="{F6930F9F-F1E4-4835-96DD-5EA466D92D75}"/>
    <cellStyle name="40% - Accent3 3 2 6" xfId="2334" xr:uid="{00000000-0005-0000-0000-000064050000}"/>
    <cellStyle name="40% - Accent3 3 2 6 2" xfId="6641" xr:uid="{00000000-0005-0000-0000-000065050000}"/>
    <cellStyle name="40% - Accent3 3 2 6 2 2" xfId="15083" xr:uid="{A3027ED5-C022-4718-AA52-FCF4DCF11FE1}"/>
    <cellStyle name="40% - Accent3 3 2 6 3" xfId="10865" xr:uid="{2BBC9CE5-45E5-4F60-B2AF-DAB509AAA899}"/>
    <cellStyle name="40% - Accent3 3 2 7" xfId="4575" xr:uid="{00000000-0005-0000-0000-000066050000}"/>
    <cellStyle name="40% - Accent3 3 2 7 2" xfId="13017" xr:uid="{B8A8EE4C-26EB-4263-B459-EC3410BAD0F7}"/>
    <cellStyle name="40% - Accent3 3 2 8" xfId="8799" xr:uid="{6FCE2761-F3AE-48AB-8A3A-9536D7C9A536}"/>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793F626D-EAE4-4C6A-9FA1-CB177E463390}"/>
    <cellStyle name="40% - Accent3 3 3 2 3" xfId="11357" xr:uid="{00A6EB46-A334-443C-B381-E28D58D158FC}"/>
    <cellStyle name="40% - Accent3 3 3 3" xfId="4988" xr:uid="{00000000-0005-0000-0000-00006A050000}"/>
    <cellStyle name="40% - Accent3 3 3 3 2" xfId="13430" xr:uid="{6949BB94-CC30-4B44-80AA-156706E77C0B}"/>
    <cellStyle name="40% - Accent3 3 3 4" xfId="9212" xr:uid="{2C7CD54C-A09E-4D88-AB71-72E7B6C248C3}"/>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1CA9FDCE-0FCC-4ABD-9190-069FD3775115}"/>
    <cellStyle name="40% - Accent3 3 4 2 3" xfId="11770" xr:uid="{B0EE2563-2D66-447A-A2B1-7CE3460CB3F6}"/>
    <cellStyle name="40% - Accent3 3 4 3" xfId="5401" xr:uid="{00000000-0005-0000-0000-00006E050000}"/>
    <cellStyle name="40% - Accent3 3 4 3 2" xfId="13843" xr:uid="{5E2EA511-03EC-4CAC-A47E-B79E54FE74E5}"/>
    <cellStyle name="40% - Accent3 3 4 4" xfId="9625" xr:uid="{75A1C844-BA64-4694-B01F-ECDF2E9CE6FC}"/>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7DFB115B-F4F0-4A98-92D8-94F1C841254D}"/>
    <cellStyle name="40% - Accent3 3 5 2 3" xfId="12183" xr:uid="{E46D6263-9502-4A8A-9339-79F5FD60A4BF}"/>
    <cellStyle name="40% - Accent3 3 5 3" xfId="5814" xr:uid="{00000000-0005-0000-0000-000072050000}"/>
    <cellStyle name="40% - Accent3 3 5 3 2" xfId="14256" xr:uid="{83906A9B-94DB-440F-8C65-901585B9AF56}"/>
    <cellStyle name="40% - Accent3 3 5 4" xfId="10038" xr:uid="{55308673-810D-4CBE-80FB-AFB30D8BCA41}"/>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CD4BB314-7FC2-4174-9162-D983208BC405}"/>
    <cellStyle name="40% - Accent3 3 6 2 3" xfId="12596" xr:uid="{1A5922F9-BC3F-4B02-88AA-94AEA34C9870}"/>
    <cellStyle name="40% - Accent3 3 6 3" xfId="6227" xr:uid="{00000000-0005-0000-0000-000076050000}"/>
    <cellStyle name="40% - Accent3 3 6 3 2" xfId="14669" xr:uid="{CA99D157-F7D6-4EBF-B894-4FF7DDAD558F}"/>
    <cellStyle name="40% - Accent3 3 6 4" xfId="10451" xr:uid="{15ABCC79-BEA1-4526-ACA0-8B2427950398}"/>
    <cellStyle name="40% - Accent3 3 7" xfId="2333" xr:uid="{00000000-0005-0000-0000-000077050000}"/>
    <cellStyle name="40% - Accent3 3 7 2" xfId="6640" xr:uid="{00000000-0005-0000-0000-000078050000}"/>
    <cellStyle name="40% - Accent3 3 7 2 2" xfId="15082" xr:uid="{1FE53D89-0266-437F-9035-910FF6BFCD05}"/>
    <cellStyle name="40% - Accent3 3 7 3" xfId="10864" xr:uid="{BBF4A03C-09E7-481A-8078-932A1DDB08E4}"/>
    <cellStyle name="40% - Accent3 3 8" xfId="4574" xr:uid="{00000000-0005-0000-0000-000079050000}"/>
    <cellStyle name="40% - Accent3 3 8 2" xfId="13016" xr:uid="{28B79260-BD6B-4D37-BADA-63BCBD93196A}"/>
    <cellStyle name="40% - Accent3 3 9" xfId="8798" xr:uid="{705FD104-A051-4288-A44E-82E39A6A303F}"/>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C39B968A-F4C2-4744-844F-F388C2E65EFB}"/>
    <cellStyle name="40% - Accent3 4 2 2 3" xfId="11359" xr:uid="{64D93552-AAF9-4191-AA8F-873AAD77D029}"/>
    <cellStyle name="40% - Accent3 4 2 3" xfId="4990" xr:uid="{00000000-0005-0000-0000-00007E050000}"/>
    <cellStyle name="40% - Accent3 4 2 3 2" xfId="13432" xr:uid="{33299700-7396-45D4-98F5-388989A6BCC2}"/>
    <cellStyle name="40% - Accent3 4 2 4" xfId="9214" xr:uid="{C1959E7A-084D-4154-9756-376A0E0DE4D8}"/>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74B7B49E-CF16-453B-87BC-30A277FD1C26}"/>
    <cellStyle name="40% - Accent3 4 3 2 3" xfId="11772" xr:uid="{98BAF09B-FA33-4B72-8663-06B998E56333}"/>
    <cellStyle name="40% - Accent3 4 3 3" xfId="5403" xr:uid="{00000000-0005-0000-0000-000082050000}"/>
    <cellStyle name="40% - Accent3 4 3 3 2" xfId="13845" xr:uid="{ADD63BF6-C777-409F-9599-854A72B369B7}"/>
    <cellStyle name="40% - Accent3 4 3 4" xfId="9627" xr:uid="{DA7DF95C-EAA9-411A-AA01-C837A1B9C8F4}"/>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D995D3F7-2ABB-4783-91E8-6D3F85932CD0}"/>
    <cellStyle name="40% - Accent3 4 4 2 3" xfId="12185" xr:uid="{0B70EA2B-E664-49C7-858B-AA20E4AAC535}"/>
    <cellStyle name="40% - Accent3 4 4 3" xfId="5816" xr:uid="{00000000-0005-0000-0000-000086050000}"/>
    <cellStyle name="40% - Accent3 4 4 3 2" xfId="14258" xr:uid="{B017A230-56A1-401A-AB3D-7F5026EB4134}"/>
    <cellStyle name="40% - Accent3 4 4 4" xfId="10040" xr:uid="{342361A2-D1BF-424D-B466-C9CF52E38A59}"/>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2112DCC3-498F-4564-8BEB-B2F59075A015}"/>
    <cellStyle name="40% - Accent3 4 5 2 3" xfId="12598" xr:uid="{2D64863F-BEDD-47D4-8B00-CAD9F6D0B213}"/>
    <cellStyle name="40% - Accent3 4 5 3" xfId="6229" xr:uid="{00000000-0005-0000-0000-00008A050000}"/>
    <cellStyle name="40% - Accent3 4 5 3 2" xfId="14671" xr:uid="{848B29DD-B55F-4395-8FA3-3813255FBCC4}"/>
    <cellStyle name="40% - Accent3 4 5 4" xfId="10453" xr:uid="{D4B19E8D-C39C-49BE-B466-66365160634D}"/>
    <cellStyle name="40% - Accent3 4 6" xfId="2335" xr:uid="{00000000-0005-0000-0000-00008B050000}"/>
    <cellStyle name="40% - Accent3 4 6 2" xfId="6642" xr:uid="{00000000-0005-0000-0000-00008C050000}"/>
    <cellStyle name="40% - Accent3 4 6 2 2" xfId="15084" xr:uid="{508A5BA0-F190-4835-B0C2-B13CCAC8CA17}"/>
    <cellStyle name="40% - Accent3 4 6 3" xfId="10866" xr:uid="{6A74D19E-7546-4713-BDFB-CCA70A71A8AE}"/>
    <cellStyle name="40% - Accent3 4 7" xfId="4576" xr:uid="{00000000-0005-0000-0000-00008D050000}"/>
    <cellStyle name="40% - Accent3 4 7 2" xfId="13018" xr:uid="{C21B3524-4C6A-4C33-A55F-303DDC8FD982}"/>
    <cellStyle name="40% - Accent3 4 8" xfId="8800" xr:uid="{3C88A630-96EF-438C-9A7C-542B233253C7}"/>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EB644AC2-59F6-4218-92A9-932F0D58C04E}"/>
    <cellStyle name="40% - Accent3 5 2 3" xfId="11352" xr:uid="{656EE1E5-53C7-4EF9-BECD-63CD477C065A}"/>
    <cellStyle name="40% - Accent3 5 3" xfId="4983" xr:uid="{00000000-0005-0000-0000-000091050000}"/>
    <cellStyle name="40% - Accent3 5 3 2" xfId="13425" xr:uid="{D4C7D6D8-4490-4B08-80C6-7AA7082E0CB7}"/>
    <cellStyle name="40% - Accent3 5 4" xfId="9207" xr:uid="{59416F89-5A78-4FA5-AC52-DD30E7645480}"/>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D72F7493-68B9-43F2-85F7-EB71EBE5826D}"/>
    <cellStyle name="40% - Accent3 6 2 3" xfId="11765" xr:uid="{C9E5315E-094B-40B2-A08C-31F654D735D9}"/>
    <cellStyle name="40% - Accent3 6 3" xfId="5396" xr:uid="{00000000-0005-0000-0000-000095050000}"/>
    <cellStyle name="40% - Accent3 6 3 2" xfId="13838" xr:uid="{3F1E8CDA-9E5A-4AFD-9823-9F5D212B59B9}"/>
    <cellStyle name="40% - Accent3 6 4" xfId="9620" xr:uid="{5A830D0D-C58F-49F2-88D7-C90C37FCB5C1}"/>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6F48FEAC-5D7E-470D-AD3C-E1B4E587F8A1}"/>
    <cellStyle name="40% - Accent3 7 2 3" xfId="12178" xr:uid="{0E518525-A80D-4BA5-93DF-F66682FA855C}"/>
    <cellStyle name="40% - Accent3 7 3" xfId="5809" xr:uid="{00000000-0005-0000-0000-000099050000}"/>
    <cellStyle name="40% - Accent3 7 3 2" xfId="14251" xr:uid="{6140B0FA-F12D-4EFD-9D4D-1D7775A3D0AF}"/>
    <cellStyle name="40% - Accent3 7 4" xfId="10033" xr:uid="{2999DE64-10F8-4619-87DE-F19B62E6CCFA}"/>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4D7F035A-560F-4D3F-9E56-4F25CE9D81BA}"/>
    <cellStyle name="40% - Accent3 8 2 3" xfId="12591" xr:uid="{E91287FE-1CA3-4706-ACC3-58E743780771}"/>
    <cellStyle name="40% - Accent3 8 3" xfId="6222" xr:uid="{00000000-0005-0000-0000-00009D050000}"/>
    <cellStyle name="40% - Accent3 8 3 2" xfId="14664" xr:uid="{4513193C-0352-4267-9538-4888EFCD6E01}"/>
    <cellStyle name="40% - Accent3 8 4" xfId="10446" xr:uid="{67921614-2537-4555-A7FC-3788AFFDAA33}"/>
    <cellStyle name="40% - Accent3 9" xfId="2328" xr:uid="{00000000-0005-0000-0000-00009E050000}"/>
    <cellStyle name="40% - Accent3 9 2" xfId="6635" xr:uid="{00000000-0005-0000-0000-00009F050000}"/>
    <cellStyle name="40% - Accent3 9 2 2" xfId="15077" xr:uid="{BA05160B-A509-4A9C-9360-89F452A47E86}"/>
    <cellStyle name="40% - Accent3 9 3" xfId="10859" xr:uid="{32BC7575-FAC5-484A-B78A-4582E3E8688D}"/>
    <cellStyle name="40% - Accent4" xfId="73" builtinId="43" customBuiltin="1"/>
    <cellStyle name="40% - Accent4 10" xfId="4577" xr:uid="{00000000-0005-0000-0000-0000A1050000}"/>
    <cellStyle name="40% - Accent4 10 2" xfId="13019" xr:uid="{737BF2BD-3AD5-40BB-A9E4-2242FC868500}"/>
    <cellStyle name="40% - Accent4 11" xfId="8801" xr:uid="{6BEFB65D-F424-4EC7-869A-CE8320B70DCF}"/>
    <cellStyle name="40% - Accent4 2" xfId="74" xr:uid="{00000000-0005-0000-0000-0000A2050000}"/>
    <cellStyle name="40% - Accent4 2 10" xfId="8802" xr:uid="{BB1F0A8D-F702-4060-BCC7-4BFAD9BB84AC}"/>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C77AE35E-1533-4B9C-BA4A-B2496B9AB52B}"/>
    <cellStyle name="40% - Accent4 2 2 2 2 2 3" xfId="11363" xr:uid="{85CA7E84-0EEC-4231-AED9-FE61B1F87B5D}"/>
    <cellStyle name="40% - Accent4 2 2 2 2 3" xfId="4994" xr:uid="{00000000-0005-0000-0000-0000A8050000}"/>
    <cellStyle name="40% - Accent4 2 2 2 2 3 2" xfId="13436" xr:uid="{FEA216D8-B845-4D8B-B7A4-4B87CC3A1525}"/>
    <cellStyle name="40% - Accent4 2 2 2 2 4" xfId="9218" xr:uid="{62C03A77-6BE6-406D-8487-76C1EEE30E1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5EC5E6AB-C371-4620-BF18-87B8F6415115}"/>
    <cellStyle name="40% - Accent4 2 2 2 3 2 3" xfId="11776" xr:uid="{7F991C4E-98E2-4428-880C-82F22109A40B}"/>
    <cellStyle name="40% - Accent4 2 2 2 3 3" xfId="5407" xr:uid="{00000000-0005-0000-0000-0000AC050000}"/>
    <cellStyle name="40% - Accent4 2 2 2 3 3 2" xfId="13849" xr:uid="{67D44066-81D9-4C7D-A67B-4FA9F06ABEC3}"/>
    <cellStyle name="40% - Accent4 2 2 2 3 4" xfId="9631" xr:uid="{ECD67B77-79A0-467B-9884-5214DF7D2715}"/>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FDD08425-BF45-4E41-8007-B9A34479FC49}"/>
    <cellStyle name="40% - Accent4 2 2 2 4 2 3" xfId="12189" xr:uid="{B4D7AE81-DE12-4290-A672-A589E4846908}"/>
    <cellStyle name="40% - Accent4 2 2 2 4 3" xfId="5820" xr:uid="{00000000-0005-0000-0000-0000B0050000}"/>
    <cellStyle name="40% - Accent4 2 2 2 4 3 2" xfId="14262" xr:uid="{772C45FD-6F61-41E5-9700-57E36CDAC1C7}"/>
    <cellStyle name="40% - Accent4 2 2 2 4 4" xfId="10044" xr:uid="{FF2945FF-9F02-41F7-843B-6DC77C444DA5}"/>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5B897FB7-611E-4B7C-8106-C6430158D797}"/>
    <cellStyle name="40% - Accent4 2 2 2 5 2 3" xfId="12602" xr:uid="{7E8116B9-BB8E-445F-BA87-7BBC46A54352}"/>
    <cellStyle name="40% - Accent4 2 2 2 5 3" xfId="6233" xr:uid="{00000000-0005-0000-0000-0000B4050000}"/>
    <cellStyle name="40% - Accent4 2 2 2 5 3 2" xfId="14675" xr:uid="{676DE7A7-9365-4D25-9B83-6B3E3789C468}"/>
    <cellStyle name="40% - Accent4 2 2 2 5 4" xfId="10457" xr:uid="{932430BF-64BC-445F-A946-61134CD89FAF}"/>
    <cellStyle name="40% - Accent4 2 2 2 6" xfId="2339" xr:uid="{00000000-0005-0000-0000-0000B5050000}"/>
    <cellStyle name="40% - Accent4 2 2 2 6 2" xfId="6646" xr:uid="{00000000-0005-0000-0000-0000B6050000}"/>
    <cellStyle name="40% - Accent4 2 2 2 6 2 2" xfId="15088" xr:uid="{4076F731-3367-4975-A72B-2B14874A047B}"/>
    <cellStyle name="40% - Accent4 2 2 2 6 3" xfId="10870" xr:uid="{9365985B-7D21-48F7-A14A-110E5C47DA15}"/>
    <cellStyle name="40% - Accent4 2 2 2 7" xfId="4580" xr:uid="{00000000-0005-0000-0000-0000B7050000}"/>
    <cellStyle name="40% - Accent4 2 2 2 7 2" xfId="13022" xr:uid="{B612F63C-8F04-49C3-AB08-F09D94463DD5}"/>
    <cellStyle name="40% - Accent4 2 2 2 8" xfId="8804" xr:uid="{3B189173-ABD0-4821-9076-8330FA3EFFB9}"/>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683D2F0A-C801-4059-BDC5-43E6B84F331D}"/>
    <cellStyle name="40% - Accent4 2 2 3 2 3" xfId="11362" xr:uid="{0A944F10-44DC-4555-8AE3-1178D1E0DBDD}"/>
    <cellStyle name="40% - Accent4 2 2 3 3" xfId="4993" xr:uid="{00000000-0005-0000-0000-0000BB050000}"/>
    <cellStyle name="40% - Accent4 2 2 3 3 2" xfId="13435" xr:uid="{F26A22A0-424D-45BC-BCB2-5A9BBBC87B97}"/>
    <cellStyle name="40% - Accent4 2 2 3 4" xfId="9217" xr:uid="{07C3CC56-4D36-4189-8AB1-DE6E3DA2B360}"/>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3CA790FF-611A-41F1-919B-8475BB73A85A}"/>
    <cellStyle name="40% - Accent4 2 2 4 2 3" xfId="11775" xr:uid="{EADE3236-64C0-47B8-9ACB-F33935F34D2A}"/>
    <cellStyle name="40% - Accent4 2 2 4 3" xfId="5406" xr:uid="{00000000-0005-0000-0000-0000BF050000}"/>
    <cellStyle name="40% - Accent4 2 2 4 3 2" xfId="13848" xr:uid="{307A9BC0-EE35-491D-8AFC-EFC2691943DB}"/>
    <cellStyle name="40% - Accent4 2 2 4 4" xfId="9630" xr:uid="{CC70289D-27DD-4C75-9216-A12D068E3FE9}"/>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AAF2791D-4527-4BCD-AE30-FDE9042A0003}"/>
    <cellStyle name="40% - Accent4 2 2 5 2 3" xfId="12188" xr:uid="{7ACF439F-511B-41A7-BEC2-1019D7F54753}"/>
    <cellStyle name="40% - Accent4 2 2 5 3" xfId="5819" xr:uid="{00000000-0005-0000-0000-0000C3050000}"/>
    <cellStyle name="40% - Accent4 2 2 5 3 2" xfId="14261" xr:uid="{9CCE9AD4-F5A4-476E-8E82-35A503E235B4}"/>
    <cellStyle name="40% - Accent4 2 2 5 4" xfId="10043" xr:uid="{55B32282-3075-426B-8CE8-3E2B859C1A15}"/>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5594D040-BCF0-4D97-8B7D-20A75E6DA24C}"/>
    <cellStyle name="40% - Accent4 2 2 6 2 3" xfId="12601" xr:uid="{E2B2080C-3D20-44F4-8598-3A8DE79E1871}"/>
    <cellStyle name="40% - Accent4 2 2 6 3" xfId="6232" xr:uid="{00000000-0005-0000-0000-0000C7050000}"/>
    <cellStyle name="40% - Accent4 2 2 6 3 2" xfId="14674" xr:uid="{018107BB-C775-40B2-BF67-7ADD8A8194AA}"/>
    <cellStyle name="40% - Accent4 2 2 6 4" xfId="10456" xr:uid="{7893383D-F74A-4896-9FD4-4F04C2D5633E}"/>
    <cellStyle name="40% - Accent4 2 2 7" xfId="2338" xr:uid="{00000000-0005-0000-0000-0000C8050000}"/>
    <cellStyle name="40% - Accent4 2 2 7 2" xfId="6645" xr:uid="{00000000-0005-0000-0000-0000C9050000}"/>
    <cellStyle name="40% - Accent4 2 2 7 2 2" xfId="15087" xr:uid="{D5B25A1F-8DBE-4040-BD96-F390A4E9122B}"/>
    <cellStyle name="40% - Accent4 2 2 7 3" xfId="10869" xr:uid="{911F04BB-DA1D-4068-B322-FF94AAB6BA50}"/>
    <cellStyle name="40% - Accent4 2 2 8" xfId="4579" xr:uid="{00000000-0005-0000-0000-0000CA050000}"/>
    <cellStyle name="40% - Accent4 2 2 8 2" xfId="13021" xr:uid="{2420DE19-B058-4183-B5D3-1CBEE2E12904}"/>
    <cellStyle name="40% - Accent4 2 2 9" xfId="8803" xr:uid="{C77025F8-1455-42D6-B243-3F73BE838FCF}"/>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8E217C29-63D2-4E61-BDBF-A07C6039C175}"/>
    <cellStyle name="40% - Accent4 2 3 2 2 3" xfId="11364" xr:uid="{7DA7EA16-6981-4011-B7F8-BE965619059A}"/>
    <cellStyle name="40% - Accent4 2 3 2 3" xfId="4995" xr:uid="{00000000-0005-0000-0000-0000CF050000}"/>
    <cellStyle name="40% - Accent4 2 3 2 3 2" xfId="13437" xr:uid="{B8CD8C5D-AD0C-41DB-A253-4E53AF19AF3C}"/>
    <cellStyle name="40% - Accent4 2 3 2 4" xfId="9219" xr:uid="{7DF260B7-E238-48FE-82ED-5C69CF365DFD}"/>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B4C57D70-76E0-4F79-B2BD-F561BC2A36BE}"/>
    <cellStyle name="40% - Accent4 2 3 3 2 3" xfId="11777" xr:uid="{75FF6AA2-D3FB-4C8F-9E34-7ED681EDD797}"/>
    <cellStyle name="40% - Accent4 2 3 3 3" xfId="5408" xr:uid="{00000000-0005-0000-0000-0000D3050000}"/>
    <cellStyle name="40% - Accent4 2 3 3 3 2" xfId="13850" xr:uid="{A7FD0ABF-3E90-484E-9F4F-7B713ED7CAEF}"/>
    <cellStyle name="40% - Accent4 2 3 3 4" xfId="9632" xr:uid="{D636AB64-622B-4165-994E-92DC0B63F98C}"/>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5B2F905C-6F39-4A93-AA9D-AA2AF5349AA3}"/>
    <cellStyle name="40% - Accent4 2 3 4 2 3" xfId="12190" xr:uid="{9813BF66-EA3C-4D23-9A90-B443545898A3}"/>
    <cellStyle name="40% - Accent4 2 3 4 3" xfId="5821" xr:uid="{00000000-0005-0000-0000-0000D7050000}"/>
    <cellStyle name="40% - Accent4 2 3 4 3 2" xfId="14263" xr:uid="{3E8218F7-6F21-4DAB-ACEE-4DD1D32AC8EC}"/>
    <cellStyle name="40% - Accent4 2 3 4 4" xfId="10045" xr:uid="{50F358F1-F354-4699-B6A5-1F9CBB04DE82}"/>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2F27666E-DB42-4320-B999-F5816CE7672E}"/>
    <cellStyle name="40% - Accent4 2 3 5 2 3" xfId="12603" xr:uid="{7C5A14DF-4AFA-4E54-A8E4-190254F77049}"/>
    <cellStyle name="40% - Accent4 2 3 5 3" xfId="6234" xr:uid="{00000000-0005-0000-0000-0000DB050000}"/>
    <cellStyle name="40% - Accent4 2 3 5 3 2" xfId="14676" xr:uid="{8400F2D4-A753-41AD-980C-2DA5C8C6BA8F}"/>
    <cellStyle name="40% - Accent4 2 3 5 4" xfId="10458" xr:uid="{E51D36E4-3BEF-45E3-9AA4-2AAE3408FAF7}"/>
    <cellStyle name="40% - Accent4 2 3 6" xfId="2340" xr:uid="{00000000-0005-0000-0000-0000DC050000}"/>
    <cellStyle name="40% - Accent4 2 3 6 2" xfId="6647" xr:uid="{00000000-0005-0000-0000-0000DD050000}"/>
    <cellStyle name="40% - Accent4 2 3 6 2 2" xfId="15089" xr:uid="{008A96D1-8D1D-46B6-B065-290F939F2729}"/>
    <cellStyle name="40% - Accent4 2 3 6 3" xfId="10871" xr:uid="{CF862BD0-4CD2-46A4-9D64-55EBC9BC79E5}"/>
    <cellStyle name="40% - Accent4 2 3 7" xfId="4581" xr:uid="{00000000-0005-0000-0000-0000DE050000}"/>
    <cellStyle name="40% - Accent4 2 3 7 2" xfId="13023" xr:uid="{DA35AA51-7A39-4C48-AEC0-0F935FF1437C}"/>
    <cellStyle name="40% - Accent4 2 3 8" xfId="8805" xr:uid="{4E8EB320-AB2C-4F93-ADEF-8F8D46A78481}"/>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E55CA67E-C7B0-4422-AA52-CE4C6D1E6E05}"/>
    <cellStyle name="40% - Accent4 2 4 2 3" xfId="11361" xr:uid="{DBA5E22B-160C-425D-8608-64CEEAF38B0A}"/>
    <cellStyle name="40% - Accent4 2 4 3" xfId="4992" xr:uid="{00000000-0005-0000-0000-0000E2050000}"/>
    <cellStyle name="40% - Accent4 2 4 3 2" xfId="13434" xr:uid="{1F759CC7-6F40-4B4D-A816-A63E86D4E240}"/>
    <cellStyle name="40% - Accent4 2 4 4" xfId="9216" xr:uid="{B0791516-7787-435D-85DE-8AD22F0F201A}"/>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5E76FDE0-E8B4-4A9A-8CF6-CAC92213A0B1}"/>
    <cellStyle name="40% - Accent4 2 5 2 3" xfId="11774" xr:uid="{D87BD6B6-48EF-4B11-BF5C-4049A0D65A88}"/>
    <cellStyle name="40% - Accent4 2 5 3" xfId="5405" xr:uid="{00000000-0005-0000-0000-0000E6050000}"/>
    <cellStyle name="40% - Accent4 2 5 3 2" xfId="13847" xr:uid="{02D50022-0E63-4B30-A219-3830BB159BD4}"/>
    <cellStyle name="40% - Accent4 2 5 4" xfId="9629" xr:uid="{C5C72A14-431C-4652-941F-EB64B4DC3C7B}"/>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5D34CA0D-2203-4622-AF14-0408FD8DE13A}"/>
    <cellStyle name="40% - Accent4 2 6 2 3" xfId="12187" xr:uid="{3C2F8D4D-2CBB-4341-B282-873D0DE857D5}"/>
    <cellStyle name="40% - Accent4 2 6 3" xfId="5818" xr:uid="{00000000-0005-0000-0000-0000EA050000}"/>
    <cellStyle name="40% - Accent4 2 6 3 2" xfId="14260" xr:uid="{458DC7C2-02A4-413E-BCBD-5E3255D8F8D3}"/>
    <cellStyle name="40% - Accent4 2 6 4" xfId="10042" xr:uid="{C438DBC1-07E2-4292-8FDA-58F8C66F418E}"/>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011A420F-36A8-49C4-805D-176D1D362BAC}"/>
    <cellStyle name="40% - Accent4 2 7 2 3" xfId="12600" xr:uid="{66377A23-FFF5-43E5-B585-3878ADAB59DB}"/>
    <cellStyle name="40% - Accent4 2 7 3" xfId="6231" xr:uid="{00000000-0005-0000-0000-0000EE050000}"/>
    <cellStyle name="40% - Accent4 2 7 3 2" xfId="14673" xr:uid="{46540A25-5BB3-4AB4-9A4D-62EDC2871370}"/>
    <cellStyle name="40% - Accent4 2 7 4" xfId="10455" xr:uid="{3B9D35E8-82A7-4C90-A2D9-AD14DB68E5BB}"/>
    <cellStyle name="40% - Accent4 2 8" xfId="2337" xr:uid="{00000000-0005-0000-0000-0000EF050000}"/>
    <cellStyle name="40% - Accent4 2 8 2" xfId="6644" xr:uid="{00000000-0005-0000-0000-0000F0050000}"/>
    <cellStyle name="40% - Accent4 2 8 2 2" xfId="15086" xr:uid="{5CA1B764-FE3C-4DB1-9B0B-23C892B22779}"/>
    <cellStyle name="40% - Accent4 2 8 3" xfId="10868" xr:uid="{763676E4-C4F1-40F4-B637-62F7A40D70F2}"/>
    <cellStyle name="40% - Accent4 2 9" xfId="4578" xr:uid="{00000000-0005-0000-0000-0000F1050000}"/>
    <cellStyle name="40% - Accent4 2 9 2" xfId="13020" xr:uid="{E0819548-F990-49D6-9209-B28AE0D17D8B}"/>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D84EB1D6-1D59-4F73-833E-3FA8AD2D95DB}"/>
    <cellStyle name="40% - Accent4 3 2 2 2 3" xfId="11366" xr:uid="{F6C2F9E9-D8AC-4D26-B888-BEF3C0745AB8}"/>
    <cellStyle name="40% - Accent4 3 2 2 3" xfId="4997" xr:uid="{00000000-0005-0000-0000-0000F7050000}"/>
    <cellStyle name="40% - Accent4 3 2 2 3 2" xfId="13439" xr:uid="{66550CFD-9AEF-413E-AA60-243AC5FBEB9D}"/>
    <cellStyle name="40% - Accent4 3 2 2 4" xfId="9221" xr:uid="{37991A14-4D00-44F9-9898-BD728CF1ED82}"/>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47759FC3-1B58-4BCA-A91F-6AA8F03F532A}"/>
    <cellStyle name="40% - Accent4 3 2 3 2 3" xfId="11779" xr:uid="{0F5A12AD-28BE-442A-AEBD-4DF415014F21}"/>
    <cellStyle name="40% - Accent4 3 2 3 3" xfId="5410" xr:uid="{00000000-0005-0000-0000-0000FB050000}"/>
    <cellStyle name="40% - Accent4 3 2 3 3 2" xfId="13852" xr:uid="{B696761C-BC3B-4D9F-8B87-839B048C7796}"/>
    <cellStyle name="40% - Accent4 3 2 3 4" xfId="9634" xr:uid="{FC57A2E5-2D04-43DF-A45D-0D1F70AA5416}"/>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7484EAE9-906C-4F05-8DAB-68168998C635}"/>
    <cellStyle name="40% - Accent4 3 2 4 2 3" xfId="12192" xr:uid="{E074AFBE-C795-4AF6-BB22-827D2185E324}"/>
    <cellStyle name="40% - Accent4 3 2 4 3" xfId="5823" xr:uid="{00000000-0005-0000-0000-0000FF050000}"/>
    <cellStyle name="40% - Accent4 3 2 4 3 2" xfId="14265" xr:uid="{7C18C84A-355B-43EC-8763-C0FFFD056125}"/>
    <cellStyle name="40% - Accent4 3 2 4 4" xfId="10047" xr:uid="{376E9EFA-650E-4194-9700-32200CA714FA}"/>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ABF457F3-651D-4F19-A81D-6006405F7BD8}"/>
    <cellStyle name="40% - Accent4 3 2 5 2 3" xfId="12605" xr:uid="{0760015B-D724-49C2-A537-E9FE7F49C0D7}"/>
    <cellStyle name="40% - Accent4 3 2 5 3" xfId="6236" xr:uid="{00000000-0005-0000-0000-000003060000}"/>
    <cellStyle name="40% - Accent4 3 2 5 3 2" xfId="14678" xr:uid="{56D97721-5A4C-4EF7-9CA6-87CBD7620739}"/>
    <cellStyle name="40% - Accent4 3 2 5 4" xfId="10460" xr:uid="{F75505D1-78B3-4035-A2E4-742B5D52B176}"/>
    <cellStyle name="40% - Accent4 3 2 6" xfId="2342" xr:uid="{00000000-0005-0000-0000-000004060000}"/>
    <cellStyle name="40% - Accent4 3 2 6 2" xfId="6649" xr:uid="{00000000-0005-0000-0000-000005060000}"/>
    <cellStyle name="40% - Accent4 3 2 6 2 2" xfId="15091" xr:uid="{EAC4EFBD-BAD2-410D-90B2-66CCACD3FC06}"/>
    <cellStyle name="40% - Accent4 3 2 6 3" xfId="10873" xr:uid="{3DF49A74-C303-42C9-9D24-3B962BC70E76}"/>
    <cellStyle name="40% - Accent4 3 2 7" xfId="4583" xr:uid="{00000000-0005-0000-0000-000006060000}"/>
    <cellStyle name="40% - Accent4 3 2 7 2" xfId="13025" xr:uid="{77B1E70D-C977-4BEC-A6A4-C28B882BE0CC}"/>
    <cellStyle name="40% - Accent4 3 2 8" xfId="8807" xr:uid="{AB98BE8B-85D4-4518-9FA0-C41D1F5BFC97}"/>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1843DEBB-F154-4AF8-8A22-BF4FAA5569F8}"/>
    <cellStyle name="40% - Accent4 3 3 2 3" xfId="11365" xr:uid="{DD8C5EEF-0B35-4540-9428-8F519638E538}"/>
    <cellStyle name="40% - Accent4 3 3 3" xfId="4996" xr:uid="{00000000-0005-0000-0000-00000A060000}"/>
    <cellStyle name="40% - Accent4 3 3 3 2" xfId="13438" xr:uid="{86C27515-E1E1-4F7E-ADCC-39C308490A79}"/>
    <cellStyle name="40% - Accent4 3 3 4" xfId="9220" xr:uid="{6E0EF75A-833F-4E59-8811-561B4F5EE76C}"/>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E7835CBF-6E68-408B-B39A-34B86E6355CF}"/>
    <cellStyle name="40% - Accent4 3 4 2 3" xfId="11778" xr:uid="{34DBE085-C3CB-4BF1-B321-8B45BB11CA75}"/>
    <cellStyle name="40% - Accent4 3 4 3" xfId="5409" xr:uid="{00000000-0005-0000-0000-00000E060000}"/>
    <cellStyle name="40% - Accent4 3 4 3 2" xfId="13851" xr:uid="{470A4669-5FFF-4918-817C-0C946EE93EB7}"/>
    <cellStyle name="40% - Accent4 3 4 4" xfId="9633" xr:uid="{22442C1E-F709-4E82-9DFE-5B484FA58294}"/>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393D2EC2-CBAF-45C2-8342-DEBE26F83E68}"/>
    <cellStyle name="40% - Accent4 3 5 2 3" xfId="12191" xr:uid="{46D29166-60AA-4FE4-9D2D-837381140CAE}"/>
    <cellStyle name="40% - Accent4 3 5 3" xfId="5822" xr:uid="{00000000-0005-0000-0000-000012060000}"/>
    <cellStyle name="40% - Accent4 3 5 3 2" xfId="14264" xr:uid="{6655B48E-9EEB-41C7-9D29-C9E3A52D37DE}"/>
    <cellStyle name="40% - Accent4 3 5 4" xfId="10046" xr:uid="{D8E82648-9FC4-44D4-8FBA-7A160D30339C}"/>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FF287A1A-2261-439F-9B55-114521D1C266}"/>
    <cellStyle name="40% - Accent4 3 6 2 3" xfId="12604" xr:uid="{29123681-3378-4C9D-B18F-1E18C333579B}"/>
    <cellStyle name="40% - Accent4 3 6 3" xfId="6235" xr:uid="{00000000-0005-0000-0000-000016060000}"/>
    <cellStyle name="40% - Accent4 3 6 3 2" xfId="14677" xr:uid="{623445F5-6F5D-4563-97EA-A3199C34661E}"/>
    <cellStyle name="40% - Accent4 3 6 4" xfId="10459" xr:uid="{9A4D785E-0AB4-46D0-8CDE-8255227F324B}"/>
    <cellStyle name="40% - Accent4 3 7" xfId="2341" xr:uid="{00000000-0005-0000-0000-000017060000}"/>
    <cellStyle name="40% - Accent4 3 7 2" xfId="6648" xr:uid="{00000000-0005-0000-0000-000018060000}"/>
    <cellStyle name="40% - Accent4 3 7 2 2" xfId="15090" xr:uid="{7EA332BF-C658-4D9C-A21F-03FEDF990A80}"/>
    <cellStyle name="40% - Accent4 3 7 3" xfId="10872" xr:uid="{7F4F0CAB-A7E9-4996-9D68-54894C0B2A06}"/>
    <cellStyle name="40% - Accent4 3 8" xfId="4582" xr:uid="{00000000-0005-0000-0000-000019060000}"/>
    <cellStyle name="40% - Accent4 3 8 2" xfId="13024" xr:uid="{375F73B1-2750-498D-A66D-B62B515EADED}"/>
    <cellStyle name="40% - Accent4 3 9" xfId="8806" xr:uid="{14701694-AF24-4A83-AC82-301630E28896}"/>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58043959-FEB3-4708-843D-C5CD8E84C37D}"/>
    <cellStyle name="40% - Accent4 4 2 2 3" xfId="11367" xr:uid="{C6CC7538-E07E-41D8-ADCA-444AF10AD61C}"/>
    <cellStyle name="40% - Accent4 4 2 3" xfId="4998" xr:uid="{00000000-0005-0000-0000-00001E060000}"/>
    <cellStyle name="40% - Accent4 4 2 3 2" xfId="13440" xr:uid="{4F4BBFED-39EE-40CD-9FAD-223BBB2CAF40}"/>
    <cellStyle name="40% - Accent4 4 2 4" xfId="9222" xr:uid="{3E8014E6-4A91-4A94-946B-91F81B80455C}"/>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8B71FB46-EF42-49D9-B327-201A60C0510C}"/>
    <cellStyle name="40% - Accent4 4 3 2 3" xfId="11780" xr:uid="{3744C085-B994-4D1E-9B23-E2DB0D3E9F51}"/>
    <cellStyle name="40% - Accent4 4 3 3" xfId="5411" xr:uid="{00000000-0005-0000-0000-000022060000}"/>
    <cellStyle name="40% - Accent4 4 3 3 2" xfId="13853" xr:uid="{28344B6E-D186-400E-960F-8CF7F9BEA7BD}"/>
    <cellStyle name="40% - Accent4 4 3 4" xfId="9635" xr:uid="{D6E574A8-291A-4080-B4DE-5A430B67E0E1}"/>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1AA1CBBE-35BC-476E-A010-72AD434EF8A0}"/>
    <cellStyle name="40% - Accent4 4 4 2 3" xfId="12193" xr:uid="{C3313748-61BE-4984-B9CC-451B208EA743}"/>
    <cellStyle name="40% - Accent4 4 4 3" xfId="5824" xr:uid="{00000000-0005-0000-0000-000026060000}"/>
    <cellStyle name="40% - Accent4 4 4 3 2" xfId="14266" xr:uid="{EF07F330-7A86-48B1-BBA8-5E5C0F7C2EF3}"/>
    <cellStyle name="40% - Accent4 4 4 4" xfId="10048" xr:uid="{A66DAD88-D5E0-47B7-96F0-930321047D11}"/>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B3ADEE8B-E8E8-4D2E-9CF9-71C468D3EFF8}"/>
    <cellStyle name="40% - Accent4 4 5 2 3" xfId="12606" xr:uid="{55EE9551-B9EE-4B45-9D33-27B1AC097784}"/>
    <cellStyle name="40% - Accent4 4 5 3" xfId="6237" xr:uid="{00000000-0005-0000-0000-00002A060000}"/>
    <cellStyle name="40% - Accent4 4 5 3 2" xfId="14679" xr:uid="{BBAAEE51-C2EF-4875-A800-E0A22C46586E}"/>
    <cellStyle name="40% - Accent4 4 5 4" xfId="10461" xr:uid="{CCA24BE1-E6B8-4AB6-84E9-59CC43F5DC68}"/>
    <cellStyle name="40% - Accent4 4 6" xfId="2343" xr:uid="{00000000-0005-0000-0000-00002B060000}"/>
    <cellStyle name="40% - Accent4 4 6 2" xfId="6650" xr:uid="{00000000-0005-0000-0000-00002C060000}"/>
    <cellStyle name="40% - Accent4 4 6 2 2" xfId="15092" xr:uid="{2D4DB03B-21AB-4DD1-A719-1F467B252653}"/>
    <cellStyle name="40% - Accent4 4 6 3" xfId="10874" xr:uid="{D3E8363B-3B7E-46DD-A977-CC9FAFFF4915}"/>
    <cellStyle name="40% - Accent4 4 7" xfId="4584" xr:uid="{00000000-0005-0000-0000-00002D060000}"/>
    <cellStyle name="40% - Accent4 4 7 2" xfId="13026" xr:uid="{109AC9BC-A561-4F68-AFA7-1421AAFDFB2C}"/>
    <cellStyle name="40% - Accent4 4 8" xfId="8808" xr:uid="{E957D728-E0AC-4662-BC0F-6DE456AE3A0B}"/>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CEF7D8BC-465B-476E-9D3E-138D8D0EB7E3}"/>
    <cellStyle name="40% - Accent4 5 2 3" xfId="11360" xr:uid="{FF214A1A-D97D-4E1E-808C-61BE2BFDB8A5}"/>
    <cellStyle name="40% - Accent4 5 3" xfId="4991" xr:uid="{00000000-0005-0000-0000-000031060000}"/>
    <cellStyle name="40% - Accent4 5 3 2" xfId="13433" xr:uid="{9E616207-32D6-43CB-8BED-199117BA9D55}"/>
    <cellStyle name="40% - Accent4 5 4" xfId="9215" xr:uid="{4407905C-C284-4472-A407-A205A46EC20B}"/>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8C6327B7-026C-4143-A9A7-3E9D61F318DF}"/>
    <cellStyle name="40% - Accent4 6 2 3" xfId="11773" xr:uid="{E985917C-5C28-41A7-B961-91EFDCBDA582}"/>
    <cellStyle name="40% - Accent4 6 3" xfId="5404" xr:uid="{00000000-0005-0000-0000-000035060000}"/>
    <cellStyle name="40% - Accent4 6 3 2" xfId="13846" xr:uid="{B3FF8213-29A5-4817-853F-1DA0B6558BAA}"/>
    <cellStyle name="40% - Accent4 6 4" xfId="9628" xr:uid="{3057986E-7A94-4D2E-A17F-E78F87B18464}"/>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3B520D56-7A28-427A-A142-B9A3C7CA13CE}"/>
    <cellStyle name="40% - Accent4 7 2 3" xfId="12186" xr:uid="{38361768-1061-4422-A3F2-766CF63CA089}"/>
    <cellStyle name="40% - Accent4 7 3" xfId="5817" xr:uid="{00000000-0005-0000-0000-000039060000}"/>
    <cellStyle name="40% - Accent4 7 3 2" xfId="14259" xr:uid="{85ABC881-6739-46A1-A34D-DE93E659A6F4}"/>
    <cellStyle name="40% - Accent4 7 4" xfId="10041" xr:uid="{33CB5085-DB5A-4AEB-8446-427F735D0152}"/>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E97D968B-60B4-489A-9756-8B733A5C5D53}"/>
    <cellStyle name="40% - Accent4 8 2 3" xfId="12599" xr:uid="{01CEA1B1-46BD-44A6-AE8C-C0935BD49B7D}"/>
    <cellStyle name="40% - Accent4 8 3" xfId="6230" xr:uid="{00000000-0005-0000-0000-00003D060000}"/>
    <cellStyle name="40% - Accent4 8 3 2" xfId="14672" xr:uid="{A064E7A4-B296-4F0D-BCEE-BFBA6A1CAE49}"/>
    <cellStyle name="40% - Accent4 8 4" xfId="10454" xr:uid="{039F8EC3-2171-4A5F-B34B-8E1F91D3165D}"/>
    <cellStyle name="40% - Accent4 9" xfId="2336" xr:uid="{00000000-0005-0000-0000-00003E060000}"/>
    <cellStyle name="40% - Accent4 9 2" xfId="6643" xr:uid="{00000000-0005-0000-0000-00003F060000}"/>
    <cellStyle name="40% - Accent4 9 2 2" xfId="15085" xr:uid="{B55E2819-BEB0-45D6-A324-8C79C9DB49E1}"/>
    <cellStyle name="40% - Accent4 9 3" xfId="10867" xr:uid="{B846FCA5-E320-44EE-A6D8-FB1D20E6D404}"/>
    <cellStyle name="40% - Accent5" xfId="81" builtinId="47" customBuiltin="1"/>
    <cellStyle name="40% - Accent5 10" xfId="4585" xr:uid="{00000000-0005-0000-0000-000041060000}"/>
    <cellStyle name="40% - Accent5 10 2" xfId="13027" xr:uid="{7F5E49CB-4F0B-4321-BD71-841EBC84BE26}"/>
    <cellStyle name="40% - Accent5 11" xfId="8809" xr:uid="{E4A40AAC-F626-44FD-B4F1-7DB32AEA25BF}"/>
    <cellStyle name="40% - Accent5 2" xfId="82" xr:uid="{00000000-0005-0000-0000-000042060000}"/>
    <cellStyle name="40% - Accent5 2 10" xfId="8810" xr:uid="{CCBDAE28-ADBC-4B13-BC11-829036FC54E7}"/>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90FB9C0B-649B-4D46-83EE-0A8F751C229C}"/>
    <cellStyle name="40% - Accent5 2 2 2 2 2 3" xfId="11371" xr:uid="{AE2A2F4D-8951-4415-92DE-6004ECF1EED7}"/>
    <cellStyle name="40% - Accent5 2 2 2 2 3" xfId="5002" xr:uid="{00000000-0005-0000-0000-000048060000}"/>
    <cellStyle name="40% - Accent5 2 2 2 2 3 2" xfId="13444" xr:uid="{D0D8CFC7-5701-47C5-84CC-997BFF018C30}"/>
    <cellStyle name="40% - Accent5 2 2 2 2 4" xfId="9226" xr:uid="{D0515DC2-C378-4D81-8F6F-0DEA944FB327}"/>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602D88E2-43AC-4329-966A-24BF6EA27209}"/>
    <cellStyle name="40% - Accent5 2 2 2 3 2 3" xfId="11784" xr:uid="{1E49C8C4-64B6-4C63-84CC-5EE799056248}"/>
    <cellStyle name="40% - Accent5 2 2 2 3 3" xfId="5415" xr:uid="{00000000-0005-0000-0000-00004C060000}"/>
    <cellStyle name="40% - Accent5 2 2 2 3 3 2" xfId="13857" xr:uid="{B4407AB5-5A39-4634-A5F5-E8C59531EE59}"/>
    <cellStyle name="40% - Accent5 2 2 2 3 4" xfId="9639" xr:uid="{2D8B926E-716A-4E4C-A6D4-EC28F182B108}"/>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4534DA4A-B364-4B52-B7AD-B0FC66ADFC8E}"/>
    <cellStyle name="40% - Accent5 2 2 2 4 2 3" xfId="12197" xr:uid="{2FCBF9F4-1FF8-470E-929B-BD29CB34A7AC}"/>
    <cellStyle name="40% - Accent5 2 2 2 4 3" xfId="5828" xr:uid="{00000000-0005-0000-0000-000050060000}"/>
    <cellStyle name="40% - Accent5 2 2 2 4 3 2" xfId="14270" xr:uid="{9995D09A-52DA-42E5-A1B6-24C5BD996B20}"/>
    <cellStyle name="40% - Accent5 2 2 2 4 4" xfId="10052" xr:uid="{15BBF7C1-855A-4B5A-B798-4DD9B11586A1}"/>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B08C3F38-3EAC-43DD-ADF4-92D0AC68BE1D}"/>
    <cellStyle name="40% - Accent5 2 2 2 5 2 3" xfId="12610" xr:uid="{E3867146-5F1A-4520-A83E-68507253F23C}"/>
    <cellStyle name="40% - Accent5 2 2 2 5 3" xfId="6241" xr:uid="{00000000-0005-0000-0000-000054060000}"/>
    <cellStyle name="40% - Accent5 2 2 2 5 3 2" xfId="14683" xr:uid="{A834CDD0-2A4B-436F-9513-85842C6B2F9C}"/>
    <cellStyle name="40% - Accent5 2 2 2 5 4" xfId="10465" xr:uid="{2B0C7882-BBFD-4BE8-B741-5C9D89BFE960}"/>
    <cellStyle name="40% - Accent5 2 2 2 6" xfId="2347" xr:uid="{00000000-0005-0000-0000-000055060000}"/>
    <cellStyle name="40% - Accent5 2 2 2 6 2" xfId="6654" xr:uid="{00000000-0005-0000-0000-000056060000}"/>
    <cellStyle name="40% - Accent5 2 2 2 6 2 2" xfId="15096" xr:uid="{236B58B2-063B-4157-8841-321D214ABB8D}"/>
    <cellStyle name="40% - Accent5 2 2 2 6 3" xfId="10878" xr:uid="{8B3D591D-5635-4409-B211-7CB55DDD9C44}"/>
    <cellStyle name="40% - Accent5 2 2 2 7" xfId="4588" xr:uid="{00000000-0005-0000-0000-000057060000}"/>
    <cellStyle name="40% - Accent5 2 2 2 7 2" xfId="13030" xr:uid="{AB4EC1B0-77F5-4C30-9D11-20FE8180FBDB}"/>
    <cellStyle name="40% - Accent5 2 2 2 8" xfId="8812" xr:uid="{258D994F-50BB-4B16-A611-D705E7D8A548}"/>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969C8B54-6572-4FBD-9B7D-BCAD169566AD}"/>
    <cellStyle name="40% - Accent5 2 2 3 2 3" xfId="11370" xr:uid="{F908E7A9-8601-4893-A991-461CEDF5FD8E}"/>
    <cellStyle name="40% - Accent5 2 2 3 3" xfId="5001" xr:uid="{00000000-0005-0000-0000-00005B060000}"/>
    <cellStyle name="40% - Accent5 2 2 3 3 2" xfId="13443" xr:uid="{F2345E05-57FE-4846-B798-0DDE90F3A1E5}"/>
    <cellStyle name="40% - Accent5 2 2 3 4" xfId="9225" xr:uid="{5173DE59-27DB-42A2-A456-E144F5EBC4F6}"/>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5EF15535-8B6D-49EC-9DC3-66E905124ED9}"/>
    <cellStyle name="40% - Accent5 2 2 4 2 3" xfId="11783" xr:uid="{99A7DA67-C6BC-41D4-A650-DAD0E8EC9321}"/>
    <cellStyle name="40% - Accent5 2 2 4 3" xfId="5414" xr:uid="{00000000-0005-0000-0000-00005F060000}"/>
    <cellStyle name="40% - Accent5 2 2 4 3 2" xfId="13856" xr:uid="{42C0A48D-F967-4639-8F26-8A124DB2E3D1}"/>
    <cellStyle name="40% - Accent5 2 2 4 4" xfId="9638" xr:uid="{F0BE75A3-B505-4AC5-875A-CDBFCCCEA157}"/>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326AA7F1-FB39-4E45-A513-71BA3664C72B}"/>
    <cellStyle name="40% - Accent5 2 2 5 2 3" xfId="12196" xr:uid="{5067563B-4E9E-4071-A53E-7197F79F1C6A}"/>
    <cellStyle name="40% - Accent5 2 2 5 3" xfId="5827" xr:uid="{00000000-0005-0000-0000-000063060000}"/>
    <cellStyle name="40% - Accent5 2 2 5 3 2" xfId="14269" xr:uid="{94A8023D-C5BA-4797-9423-A7CCBCB0DAEB}"/>
    <cellStyle name="40% - Accent5 2 2 5 4" xfId="10051" xr:uid="{C956D1F5-23C0-4CD2-8333-9B631DB5AEAF}"/>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A63426BA-F133-4758-8CDB-498221D8C902}"/>
    <cellStyle name="40% - Accent5 2 2 6 2 3" xfId="12609" xr:uid="{7DA6A2B7-19A0-4198-9FB7-1D666C94EEA7}"/>
    <cellStyle name="40% - Accent5 2 2 6 3" xfId="6240" xr:uid="{00000000-0005-0000-0000-000067060000}"/>
    <cellStyle name="40% - Accent5 2 2 6 3 2" xfId="14682" xr:uid="{3592D371-2896-4591-B5FD-90F31015AB13}"/>
    <cellStyle name="40% - Accent5 2 2 6 4" xfId="10464" xr:uid="{E4892056-0631-4A75-8BCF-4C4B07E59DF2}"/>
    <cellStyle name="40% - Accent5 2 2 7" xfId="2346" xr:uid="{00000000-0005-0000-0000-000068060000}"/>
    <cellStyle name="40% - Accent5 2 2 7 2" xfId="6653" xr:uid="{00000000-0005-0000-0000-000069060000}"/>
    <cellStyle name="40% - Accent5 2 2 7 2 2" xfId="15095" xr:uid="{5BA60F35-2CE7-4D12-B230-6D0DE798BDF3}"/>
    <cellStyle name="40% - Accent5 2 2 7 3" xfId="10877" xr:uid="{318470E5-963D-4358-B803-290CD38DED5C}"/>
    <cellStyle name="40% - Accent5 2 2 8" xfId="4587" xr:uid="{00000000-0005-0000-0000-00006A060000}"/>
    <cellStyle name="40% - Accent5 2 2 8 2" xfId="13029" xr:uid="{15CD94CB-8E55-4319-8818-41AD8203A5F1}"/>
    <cellStyle name="40% - Accent5 2 2 9" xfId="8811" xr:uid="{95D423BD-753B-495E-881A-FFA9BA9A0552}"/>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A22D61C0-97B4-46D8-B438-5E63A863C4F3}"/>
    <cellStyle name="40% - Accent5 2 3 2 2 3" xfId="11372" xr:uid="{BB3BB303-6257-4D31-9222-3D047EA24F0B}"/>
    <cellStyle name="40% - Accent5 2 3 2 3" xfId="5003" xr:uid="{00000000-0005-0000-0000-00006F060000}"/>
    <cellStyle name="40% - Accent5 2 3 2 3 2" xfId="13445" xr:uid="{37B06E13-99C2-4EF1-BFE5-AF7AE09EE9E2}"/>
    <cellStyle name="40% - Accent5 2 3 2 4" xfId="9227" xr:uid="{CFD2C56D-937B-4F58-852F-12ADDAD3BB41}"/>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A1A3A03C-113A-4C95-B409-E96F1C86ED0A}"/>
    <cellStyle name="40% - Accent5 2 3 3 2 3" xfId="11785" xr:uid="{925B78A9-EA9A-44C1-99CB-AFC05F11825D}"/>
    <cellStyle name="40% - Accent5 2 3 3 3" xfId="5416" xr:uid="{00000000-0005-0000-0000-000073060000}"/>
    <cellStyle name="40% - Accent5 2 3 3 3 2" xfId="13858" xr:uid="{3A7AFCC0-E056-472D-A4A9-B51EB8BE6467}"/>
    <cellStyle name="40% - Accent5 2 3 3 4" xfId="9640" xr:uid="{7FE93536-D60B-48FA-A1F6-36ECB33BFA13}"/>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38C98CA4-7197-4661-9300-82615577C7BC}"/>
    <cellStyle name="40% - Accent5 2 3 4 2 3" xfId="12198" xr:uid="{3CF15B40-28D8-4217-9513-0A4C24A5D9B2}"/>
    <cellStyle name="40% - Accent5 2 3 4 3" xfId="5829" xr:uid="{00000000-0005-0000-0000-000077060000}"/>
    <cellStyle name="40% - Accent5 2 3 4 3 2" xfId="14271" xr:uid="{9E00FBB4-E48E-4734-9C90-4704BF3327E6}"/>
    <cellStyle name="40% - Accent5 2 3 4 4" xfId="10053" xr:uid="{69FAA1CE-ECCE-44C3-A13A-E48DBCD41F52}"/>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FBC0621B-BC2B-4E62-BB8E-6E815B32084E}"/>
    <cellStyle name="40% - Accent5 2 3 5 2 3" xfId="12611" xr:uid="{AE721B03-5E25-49E7-8003-EA839EB33D0E}"/>
    <cellStyle name="40% - Accent5 2 3 5 3" xfId="6242" xr:uid="{00000000-0005-0000-0000-00007B060000}"/>
    <cellStyle name="40% - Accent5 2 3 5 3 2" xfId="14684" xr:uid="{6B3140F6-3929-40D7-B165-70E60B9161EE}"/>
    <cellStyle name="40% - Accent5 2 3 5 4" xfId="10466" xr:uid="{F6F1EFF5-4051-4382-9427-A87D9BFC94DF}"/>
    <cellStyle name="40% - Accent5 2 3 6" xfId="2348" xr:uid="{00000000-0005-0000-0000-00007C060000}"/>
    <cellStyle name="40% - Accent5 2 3 6 2" xfId="6655" xr:uid="{00000000-0005-0000-0000-00007D060000}"/>
    <cellStyle name="40% - Accent5 2 3 6 2 2" xfId="15097" xr:uid="{CF82B9CC-9BE9-446F-83BB-A5DE8641FD95}"/>
    <cellStyle name="40% - Accent5 2 3 6 3" xfId="10879" xr:uid="{8474E171-0A69-4785-A9D0-279EDE415D11}"/>
    <cellStyle name="40% - Accent5 2 3 7" xfId="4589" xr:uid="{00000000-0005-0000-0000-00007E060000}"/>
    <cellStyle name="40% - Accent5 2 3 7 2" xfId="13031" xr:uid="{8E0D8E5F-9905-489C-AC49-C84A23CEA15D}"/>
    <cellStyle name="40% - Accent5 2 3 8" xfId="8813" xr:uid="{01F525D9-36F5-41A8-A6D7-B5354E8C71DF}"/>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00409B08-2ED6-48A3-8EF3-5FD15791901B}"/>
    <cellStyle name="40% - Accent5 2 4 2 3" xfId="11369" xr:uid="{93D3520D-647B-4265-95D2-90285B99D400}"/>
    <cellStyle name="40% - Accent5 2 4 3" xfId="5000" xr:uid="{00000000-0005-0000-0000-000082060000}"/>
    <cellStyle name="40% - Accent5 2 4 3 2" xfId="13442" xr:uid="{A93CACE8-1553-4BCB-A809-3F33AE779896}"/>
    <cellStyle name="40% - Accent5 2 4 4" xfId="9224" xr:uid="{934E0165-5A81-4B1C-9615-C08AAEB4091B}"/>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7A9378BF-B9E7-4FD1-AF02-44AB8B5D50B9}"/>
    <cellStyle name="40% - Accent5 2 5 2 3" xfId="11782" xr:uid="{43C4D215-2A3A-4421-9C0A-2E429998B122}"/>
    <cellStyle name="40% - Accent5 2 5 3" xfId="5413" xr:uid="{00000000-0005-0000-0000-000086060000}"/>
    <cellStyle name="40% - Accent5 2 5 3 2" xfId="13855" xr:uid="{96A867B2-4323-476D-A8D4-2D12BB206646}"/>
    <cellStyle name="40% - Accent5 2 5 4" xfId="9637" xr:uid="{3BD7B5CE-E901-4BAB-8D27-5B214F47FD1B}"/>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CFFE900A-58A9-4A6C-86A5-9F2605C2EC6B}"/>
    <cellStyle name="40% - Accent5 2 6 2 3" xfId="12195" xr:uid="{E93566BB-C473-4BA4-9FCC-4221BD6E63D2}"/>
    <cellStyle name="40% - Accent5 2 6 3" xfId="5826" xr:uid="{00000000-0005-0000-0000-00008A060000}"/>
    <cellStyle name="40% - Accent5 2 6 3 2" xfId="14268" xr:uid="{9F8249EF-85D8-460D-B6AE-43DC80BCB805}"/>
    <cellStyle name="40% - Accent5 2 6 4" xfId="10050" xr:uid="{FA5D70DB-8FD6-44CE-8F77-BE0BE6EB7EF3}"/>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FEFC0BD7-9242-44BC-A638-EA67A8FCC17C}"/>
    <cellStyle name="40% - Accent5 2 7 2 3" xfId="12608" xr:uid="{7943834D-CBAF-410F-ACAC-AF841059492E}"/>
    <cellStyle name="40% - Accent5 2 7 3" xfId="6239" xr:uid="{00000000-0005-0000-0000-00008E060000}"/>
    <cellStyle name="40% - Accent5 2 7 3 2" xfId="14681" xr:uid="{5C7379A4-BEE3-4DDC-96CB-834FEE094415}"/>
    <cellStyle name="40% - Accent5 2 7 4" xfId="10463" xr:uid="{C64EB81B-7810-4977-A308-ACCA89ACE6C1}"/>
    <cellStyle name="40% - Accent5 2 8" xfId="2345" xr:uid="{00000000-0005-0000-0000-00008F060000}"/>
    <cellStyle name="40% - Accent5 2 8 2" xfId="6652" xr:uid="{00000000-0005-0000-0000-000090060000}"/>
    <cellStyle name="40% - Accent5 2 8 2 2" xfId="15094" xr:uid="{B05B88E4-C839-406E-BCBA-25F9918B6485}"/>
    <cellStyle name="40% - Accent5 2 8 3" xfId="10876" xr:uid="{1B278B9B-1DCE-4980-A795-898E6738DD79}"/>
    <cellStyle name="40% - Accent5 2 9" xfId="4586" xr:uid="{00000000-0005-0000-0000-000091060000}"/>
    <cellStyle name="40% - Accent5 2 9 2" xfId="13028" xr:uid="{2ACB8530-286C-4B12-9F8C-317B4694D386}"/>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F57CA3B6-08C2-4A54-A95F-CA36C1773291}"/>
    <cellStyle name="40% - Accent5 3 2 2 2 3" xfId="11374" xr:uid="{53CB7C7A-8DB4-4CCE-A774-87F3DB48A81D}"/>
    <cellStyle name="40% - Accent5 3 2 2 3" xfId="5005" xr:uid="{00000000-0005-0000-0000-000097060000}"/>
    <cellStyle name="40% - Accent5 3 2 2 3 2" xfId="13447" xr:uid="{901CFFCA-8858-41EE-AD49-8E064E721FE5}"/>
    <cellStyle name="40% - Accent5 3 2 2 4" xfId="9229" xr:uid="{BEE694B8-7FD0-4EEA-A60A-6C44E3A3EBBF}"/>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13D63A40-2D7B-4EDB-AD9A-815D616239B6}"/>
    <cellStyle name="40% - Accent5 3 2 3 2 3" xfId="11787" xr:uid="{12D9C862-A9DB-47EF-9C3B-28226B60A845}"/>
    <cellStyle name="40% - Accent5 3 2 3 3" xfId="5418" xr:uid="{00000000-0005-0000-0000-00009B060000}"/>
    <cellStyle name="40% - Accent5 3 2 3 3 2" xfId="13860" xr:uid="{019A25EF-ABEF-4927-80F1-4573E59AA888}"/>
    <cellStyle name="40% - Accent5 3 2 3 4" xfId="9642" xr:uid="{858A9FF8-5DBB-4FE6-AC6A-BC430725BD3B}"/>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977DDF8D-728F-491A-A530-C5D6471FE883}"/>
    <cellStyle name="40% - Accent5 3 2 4 2 3" xfId="12200" xr:uid="{6FC72A4F-27C0-4E7C-9631-5A3E43E8F165}"/>
    <cellStyle name="40% - Accent5 3 2 4 3" xfId="5831" xr:uid="{00000000-0005-0000-0000-00009F060000}"/>
    <cellStyle name="40% - Accent5 3 2 4 3 2" xfId="14273" xr:uid="{72817D74-690A-48C2-A0B0-34AFFF27EDCB}"/>
    <cellStyle name="40% - Accent5 3 2 4 4" xfId="10055" xr:uid="{00BB2FA9-DF12-4175-AE81-587DB2BB3316}"/>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B8B0CED4-D280-4742-A5A0-00420731CAF3}"/>
    <cellStyle name="40% - Accent5 3 2 5 2 3" xfId="12613" xr:uid="{99C8EBA9-330F-46BD-B555-A6CF305BDD88}"/>
    <cellStyle name="40% - Accent5 3 2 5 3" xfId="6244" xr:uid="{00000000-0005-0000-0000-0000A3060000}"/>
    <cellStyle name="40% - Accent5 3 2 5 3 2" xfId="14686" xr:uid="{2A36FDBA-3BE3-4356-8A7C-A223BD8F59D8}"/>
    <cellStyle name="40% - Accent5 3 2 5 4" xfId="10468" xr:uid="{7ADA5A42-391B-485A-8CD5-655719C54928}"/>
    <cellStyle name="40% - Accent5 3 2 6" xfId="2350" xr:uid="{00000000-0005-0000-0000-0000A4060000}"/>
    <cellStyle name="40% - Accent5 3 2 6 2" xfId="6657" xr:uid="{00000000-0005-0000-0000-0000A5060000}"/>
    <cellStyle name="40% - Accent5 3 2 6 2 2" xfId="15099" xr:uid="{049FEF03-F861-4FBD-8191-6B7E672B806C}"/>
    <cellStyle name="40% - Accent5 3 2 6 3" xfId="10881" xr:uid="{9F7EDC08-31D6-4D54-84C5-43B50D467BC3}"/>
    <cellStyle name="40% - Accent5 3 2 7" xfId="4591" xr:uid="{00000000-0005-0000-0000-0000A6060000}"/>
    <cellStyle name="40% - Accent5 3 2 7 2" xfId="13033" xr:uid="{11A03038-AB38-4DCD-B26B-BD02AED3EF1C}"/>
    <cellStyle name="40% - Accent5 3 2 8" xfId="8815" xr:uid="{A523C85D-8ED8-4A91-816B-0EC9C886A9A5}"/>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1CCB27C5-6B53-4C91-96CD-3FC7C7D22ADC}"/>
    <cellStyle name="40% - Accent5 3 3 2 3" xfId="11373" xr:uid="{2A08D1C8-3C69-48CD-9678-F96E46AA5D11}"/>
    <cellStyle name="40% - Accent5 3 3 3" xfId="5004" xr:uid="{00000000-0005-0000-0000-0000AA060000}"/>
    <cellStyle name="40% - Accent5 3 3 3 2" xfId="13446" xr:uid="{7220923F-277B-4A33-AFD6-DF5854FF2C6A}"/>
    <cellStyle name="40% - Accent5 3 3 4" xfId="9228" xr:uid="{BEEF4204-DB01-4C67-AAF7-43B89C9C4DD2}"/>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9FAA3E5B-1A63-4254-B7E8-806C071574F4}"/>
    <cellStyle name="40% - Accent5 3 4 2 3" xfId="11786" xr:uid="{C6CAEC98-F727-435D-AC6C-0E8FB152D720}"/>
    <cellStyle name="40% - Accent5 3 4 3" xfId="5417" xr:uid="{00000000-0005-0000-0000-0000AE060000}"/>
    <cellStyle name="40% - Accent5 3 4 3 2" xfId="13859" xr:uid="{D8272D54-855E-4087-8D01-158B8C8434F0}"/>
    <cellStyle name="40% - Accent5 3 4 4" xfId="9641" xr:uid="{D62AC7B8-94D3-4049-B550-AAF5B3892E5A}"/>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99735656-D766-409D-8FBE-67B5B484FC28}"/>
    <cellStyle name="40% - Accent5 3 5 2 3" xfId="12199" xr:uid="{2CB5596B-6D5D-4DAC-AE02-E04615C5F7F5}"/>
    <cellStyle name="40% - Accent5 3 5 3" xfId="5830" xr:uid="{00000000-0005-0000-0000-0000B2060000}"/>
    <cellStyle name="40% - Accent5 3 5 3 2" xfId="14272" xr:uid="{2BD6C808-6FE8-46BF-BA1B-1B4E2397AA29}"/>
    <cellStyle name="40% - Accent5 3 5 4" xfId="10054" xr:uid="{3D6B8E3F-97A3-4B86-98E8-5F605BFADA69}"/>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9E965FF3-0515-4C20-8CF7-7590540C4797}"/>
    <cellStyle name="40% - Accent5 3 6 2 3" xfId="12612" xr:uid="{811BD535-A29F-441C-9B99-104E9D1F457F}"/>
    <cellStyle name="40% - Accent5 3 6 3" xfId="6243" xr:uid="{00000000-0005-0000-0000-0000B6060000}"/>
    <cellStyle name="40% - Accent5 3 6 3 2" xfId="14685" xr:uid="{1819C599-DBE9-4D56-8515-33390EEF15E5}"/>
    <cellStyle name="40% - Accent5 3 6 4" xfId="10467" xr:uid="{4DDF92C6-2223-452E-8319-237DABE59B11}"/>
    <cellStyle name="40% - Accent5 3 7" xfId="2349" xr:uid="{00000000-0005-0000-0000-0000B7060000}"/>
    <cellStyle name="40% - Accent5 3 7 2" xfId="6656" xr:uid="{00000000-0005-0000-0000-0000B8060000}"/>
    <cellStyle name="40% - Accent5 3 7 2 2" xfId="15098" xr:uid="{6656277A-1805-48B6-AB48-2AF780EA6399}"/>
    <cellStyle name="40% - Accent5 3 7 3" xfId="10880" xr:uid="{59FE7586-BAE2-4130-8BF9-E9DF9145BC34}"/>
    <cellStyle name="40% - Accent5 3 8" xfId="4590" xr:uid="{00000000-0005-0000-0000-0000B9060000}"/>
    <cellStyle name="40% - Accent5 3 8 2" xfId="13032" xr:uid="{5170C4FA-8D8B-4DCC-B79D-D3BCF3B04BE2}"/>
    <cellStyle name="40% - Accent5 3 9" xfId="8814" xr:uid="{F883CD43-FC63-49E3-8B59-03252F4D2062}"/>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51667929-849A-48DF-898C-3BFBA2273224}"/>
    <cellStyle name="40% - Accent5 4 2 2 3" xfId="11375" xr:uid="{03487CB1-48DE-44E2-B396-9BAD78B22A1E}"/>
    <cellStyle name="40% - Accent5 4 2 3" xfId="5006" xr:uid="{00000000-0005-0000-0000-0000BE060000}"/>
    <cellStyle name="40% - Accent5 4 2 3 2" xfId="13448" xr:uid="{AC889F7F-56BF-4932-9707-8CBCDE0AEC23}"/>
    <cellStyle name="40% - Accent5 4 2 4" xfId="9230" xr:uid="{712F966C-DCED-46AE-A237-9EE50CF20657}"/>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C3173BB7-AC03-448F-885C-61E3B411D483}"/>
    <cellStyle name="40% - Accent5 4 3 2 3" xfId="11788" xr:uid="{C2F5AA7A-0213-493D-A8FF-A86A41A1459D}"/>
    <cellStyle name="40% - Accent5 4 3 3" xfId="5419" xr:uid="{00000000-0005-0000-0000-0000C2060000}"/>
    <cellStyle name="40% - Accent5 4 3 3 2" xfId="13861" xr:uid="{F03F5B42-88FE-4C22-90EA-6B107B445C62}"/>
    <cellStyle name="40% - Accent5 4 3 4" xfId="9643" xr:uid="{716882C3-B1F4-4DAB-AD98-F9461C426B68}"/>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63148B95-F84B-4E75-B886-97DA1029548D}"/>
    <cellStyle name="40% - Accent5 4 4 2 3" xfId="12201" xr:uid="{A6BC9B3D-E262-4D93-96B4-9280564D5EC0}"/>
    <cellStyle name="40% - Accent5 4 4 3" xfId="5832" xr:uid="{00000000-0005-0000-0000-0000C6060000}"/>
    <cellStyle name="40% - Accent5 4 4 3 2" xfId="14274" xr:uid="{6454B0F3-9240-44DA-98B9-0DDACDE7A45D}"/>
    <cellStyle name="40% - Accent5 4 4 4" xfId="10056" xr:uid="{DB8355A4-88A9-431E-A90F-AEBDE2F04F06}"/>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9BD2FEFF-E868-40CB-914D-6B3E3532CA9F}"/>
    <cellStyle name="40% - Accent5 4 5 2 3" xfId="12614" xr:uid="{6CE315A4-A5B4-42DA-BF01-74B21A797C53}"/>
    <cellStyle name="40% - Accent5 4 5 3" xfId="6245" xr:uid="{00000000-0005-0000-0000-0000CA060000}"/>
    <cellStyle name="40% - Accent5 4 5 3 2" xfId="14687" xr:uid="{AC27E829-27F0-47E6-8876-B138418FD95A}"/>
    <cellStyle name="40% - Accent5 4 5 4" xfId="10469" xr:uid="{E8478332-7155-4775-9FBC-6831D8694EAB}"/>
    <cellStyle name="40% - Accent5 4 6" xfId="2351" xr:uid="{00000000-0005-0000-0000-0000CB060000}"/>
    <cellStyle name="40% - Accent5 4 6 2" xfId="6658" xr:uid="{00000000-0005-0000-0000-0000CC060000}"/>
    <cellStyle name="40% - Accent5 4 6 2 2" xfId="15100" xr:uid="{1ECE5313-930F-4E6A-9802-02005DB1733F}"/>
    <cellStyle name="40% - Accent5 4 6 3" xfId="10882" xr:uid="{F53DCFBE-EA90-4F1D-B19C-7E4F6DF9B29C}"/>
    <cellStyle name="40% - Accent5 4 7" xfId="4592" xr:uid="{00000000-0005-0000-0000-0000CD060000}"/>
    <cellStyle name="40% - Accent5 4 7 2" xfId="13034" xr:uid="{AAA6F933-F024-445A-B815-E662AC747335}"/>
    <cellStyle name="40% - Accent5 4 8" xfId="8816" xr:uid="{DF0827B7-4C48-4C54-882A-67F7E8ABC648}"/>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915F7CFE-515D-4067-8FFA-51406965C8B9}"/>
    <cellStyle name="40% - Accent5 5 2 3" xfId="11368" xr:uid="{94956F5B-EE80-4FD3-98CC-A8B127A77114}"/>
    <cellStyle name="40% - Accent5 5 3" xfId="4999" xr:uid="{00000000-0005-0000-0000-0000D1060000}"/>
    <cellStyle name="40% - Accent5 5 3 2" xfId="13441" xr:uid="{2F1A2DE6-14F9-4BA1-B3CF-E0BB9EEEAAF1}"/>
    <cellStyle name="40% - Accent5 5 4" xfId="9223" xr:uid="{BFF41B65-C3CD-4515-A3AC-AD39450ED5C9}"/>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5F0F349E-8A1B-446A-BB3B-8A9A96A41878}"/>
    <cellStyle name="40% - Accent5 6 2 3" xfId="11781" xr:uid="{B207422C-ABDA-47AF-BC75-F93A82A14CF3}"/>
    <cellStyle name="40% - Accent5 6 3" xfId="5412" xr:uid="{00000000-0005-0000-0000-0000D5060000}"/>
    <cellStyle name="40% - Accent5 6 3 2" xfId="13854" xr:uid="{5B85C9A8-0B3E-400B-82AF-27837D60C6F9}"/>
    <cellStyle name="40% - Accent5 6 4" xfId="9636" xr:uid="{3000CE2E-0C56-4A6B-90AB-80DF80077B70}"/>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7B0FE0A8-F550-41A2-AA8D-9F4319906C33}"/>
    <cellStyle name="40% - Accent5 7 2 3" xfId="12194" xr:uid="{AC65A1C5-1E4F-4CDB-83FD-D38833D282A4}"/>
    <cellStyle name="40% - Accent5 7 3" xfId="5825" xr:uid="{00000000-0005-0000-0000-0000D9060000}"/>
    <cellStyle name="40% - Accent5 7 3 2" xfId="14267" xr:uid="{D5EF21E2-69ED-429B-B413-3432F16E10A1}"/>
    <cellStyle name="40% - Accent5 7 4" xfId="10049" xr:uid="{38F85B63-1161-498F-96EA-89388A0602FB}"/>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22361FEF-18FD-4BE3-8C42-F668D012E8C4}"/>
    <cellStyle name="40% - Accent5 8 2 3" xfId="12607" xr:uid="{1E3C7FE8-E2F9-4452-890F-CB83F8677704}"/>
    <cellStyle name="40% - Accent5 8 3" xfId="6238" xr:uid="{00000000-0005-0000-0000-0000DD060000}"/>
    <cellStyle name="40% - Accent5 8 3 2" xfId="14680" xr:uid="{22A048F1-89CB-4B98-9A1C-6E72972CCFD9}"/>
    <cellStyle name="40% - Accent5 8 4" xfId="10462" xr:uid="{6E5E281B-1DB4-494E-9D8E-BBBCA89EC385}"/>
    <cellStyle name="40% - Accent5 9" xfId="2344" xr:uid="{00000000-0005-0000-0000-0000DE060000}"/>
    <cellStyle name="40% - Accent5 9 2" xfId="6651" xr:uid="{00000000-0005-0000-0000-0000DF060000}"/>
    <cellStyle name="40% - Accent5 9 2 2" xfId="15093" xr:uid="{C562AB1D-7970-4046-A039-EF0A75FB7883}"/>
    <cellStyle name="40% - Accent5 9 3" xfId="10875" xr:uid="{53B981CB-3CBE-4A3F-B415-7EDEBFBCF38B}"/>
    <cellStyle name="40% - Accent6" xfId="89" builtinId="51" customBuiltin="1"/>
    <cellStyle name="40% - Accent6 10" xfId="4593" xr:uid="{00000000-0005-0000-0000-0000E1060000}"/>
    <cellStyle name="40% - Accent6 10 2" xfId="13035" xr:uid="{292288E9-44DB-4F12-9B16-C8BD84089648}"/>
    <cellStyle name="40% - Accent6 11" xfId="8817" xr:uid="{87736388-DFA2-4022-B0EE-EFB936F26292}"/>
    <cellStyle name="40% - Accent6 2" xfId="90" xr:uid="{00000000-0005-0000-0000-0000E2060000}"/>
    <cellStyle name="40% - Accent6 2 10" xfId="8818" xr:uid="{466B6C37-677E-4162-A2FE-EDCEEACA206E}"/>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601639F0-EAFF-494D-A980-79B614DB8233}"/>
    <cellStyle name="40% - Accent6 2 2 2 2 2 3" xfId="11379" xr:uid="{31153912-A348-4F68-AE9C-D016CA78B6A5}"/>
    <cellStyle name="40% - Accent6 2 2 2 2 3" xfId="5010" xr:uid="{00000000-0005-0000-0000-0000E8060000}"/>
    <cellStyle name="40% - Accent6 2 2 2 2 3 2" xfId="13452" xr:uid="{5F2C27A0-8FD6-4BD8-A700-ECDB6C2F3934}"/>
    <cellStyle name="40% - Accent6 2 2 2 2 4" xfId="9234" xr:uid="{7BD7FB50-4295-4E88-9AC9-7B20A5152DBB}"/>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454BA2E9-3DC3-4502-A0C8-3B9611E9FF15}"/>
    <cellStyle name="40% - Accent6 2 2 2 3 2 3" xfId="11792" xr:uid="{F37FC00E-B1B4-44C3-8DD3-54E712A7B24C}"/>
    <cellStyle name="40% - Accent6 2 2 2 3 3" xfId="5423" xr:uid="{00000000-0005-0000-0000-0000EC060000}"/>
    <cellStyle name="40% - Accent6 2 2 2 3 3 2" xfId="13865" xr:uid="{1E1D2151-79CB-4BF6-8D4C-879F90A98D76}"/>
    <cellStyle name="40% - Accent6 2 2 2 3 4" xfId="9647" xr:uid="{C64FD407-A478-4B3E-BF54-CDA23BA57D33}"/>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03F43CE8-7054-40F0-ACF6-47FB819A393B}"/>
    <cellStyle name="40% - Accent6 2 2 2 4 2 3" xfId="12205" xr:uid="{F6B5E536-1CB4-4E61-9D95-94A4821E8F2C}"/>
    <cellStyle name="40% - Accent6 2 2 2 4 3" xfId="5836" xr:uid="{00000000-0005-0000-0000-0000F0060000}"/>
    <cellStyle name="40% - Accent6 2 2 2 4 3 2" xfId="14278" xr:uid="{C87293B2-B3E9-4924-B5AC-9D585A872FC6}"/>
    <cellStyle name="40% - Accent6 2 2 2 4 4" xfId="10060" xr:uid="{EC231420-6059-4F50-B9BD-75A3660268FD}"/>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AC8C1F44-D5E7-49DD-8004-773B7E6A2856}"/>
    <cellStyle name="40% - Accent6 2 2 2 5 2 3" xfId="12618" xr:uid="{9B01CB00-6D69-4466-A8DE-5FD042FC2AE2}"/>
    <cellStyle name="40% - Accent6 2 2 2 5 3" xfId="6249" xr:uid="{00000000-0005-0000-0000-0000F4060000}"/>
    <cellStyle name="40% - Accent6 2 2 2 5 3 2" xfId="14691" xr:uid="{F0E613FF-16F9-4FBD-A2CD-223F1866C9C4}"/>
    <cellStyle name="40% - Accent6 2 2 2 5 4" xfId="10473" xr:uid="{E26E359B-AF54-4DD7-AE78-DD21A17A814E}"/>
    <cellStyle name="40% - Accent6 2 2 2 6" xfId="2355" xr:uid="{00000000-0005-0000-0000-0000F5060000}"/>
    <cellStyle name="40% - Accent6 2 2 2 6 2" xfId="6662" xr:uid="{00000000-0005-0000-0000-0000F6060000}"/>
    <cellStyle name="40% - Accent6 2 2 2 6 2 2" xfId="15104" xr:uid="{FFC12FE9-75B9-411C-A285-19D8224758D2}"/>
    <cellStyle name="40% - Accent6 2 2 2 6 3" xfId="10886" xr:uid="{42A122AF-29D1-4D6C-921B-B6DC6722B534}"/>
    <cellStyle name="40% - Accent6 2 2 2 7" xfId="4596" xr:uid="{00000000-0005-0000-0000-0000F7060000}"/>
    <cellStyle name="40% - Accent6 2 2 2 7 2" xfId="13038" xr:uid="{D1A723DF-765B-4B48-966B-DAF4779E12D0}"/>
    <cellStyle name="40% - Accent6 2 2 2 8" xfId="8820" xr:uid="{D6FFC3DE-8793-45FD-8D10-A9274AD8215B}"/>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D4CE4125-1311-44F8-90EC-F58458A0B557}"/>
    <cellStyle name="40% - Accent6 2 2 3 2 3" xfId="11378" xr:uid="{DB4B8D4F-9E7A-4B96-B61A-C573F980C5FE}"/>
    <cellStyle name="40% - Accent6 2 2 3 3" xfId="5009" xr:uid="{00000000-0005-0000-0000-0000FB060000}"/>
    <cellStyle name="40% - Accent6 2 2 3 3 2" xfId="13451" xr:uid="{FF4340FB-0EB9-46EE-A2CC-38FAAC2F9A8A}"/>
    <cellStyle name="40% - Accent6 2 2 3 4" xfId="9233" xr:uid="{65E11297-F628-4D03-A94F-2EF7975DC44C}"/>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68A8FC86-BF41-4F7D-B3A5-7C428EBAA9B5}"/>
    <cellStyle name="40% - Accent6 2 2 4 2 3" xfId="11791" xr:uid="{3B2B46D4-CEA9-45FE-97B7-C224CB29AED2}"/>
    <cellStyle name="40% - Accent6 2 2 4 3" xfId="5422" xr:uid="{00000000-0005-0000-0000-0000FF060000}"/>
    <cellStyle name="40% - Accent6 2 2 4 3 2" xfId="13864" xr:uid="{3536DC6D-4CCF-4A28-98D3-A0DFB3A5F683}"/>
    <cellStyle name="40% - Accent6 2 2 4 4" xfId="9646" xr:uid="{2112FF7F-F0CC-4CE6-9316-376E5EA653BA}"/>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A4EA1B44-1D37-4F03-893E-617F65CC93E4}"/>
    <cellStyle name="40% - Accent6 2 2 5 2 3" xfId="12204" xr:uid="{9C9C7E03-5BDE-4DD0-BA73-4CC189D620E3}"/>
    <cellStyle name="40% - Accent6 2 2 5 3" xfId="5835" xr:uid="{00000000-0005-0000-0000-000003070000}"/>
    <cellStyle name="40% - Accent6 2 2 5 3 2" xfId="14277" xr:uid="{E6E6C500-EF94-4084-A272-2653D6319C93}"/>
    <cellStyle name="40% - Accent6 2 2 5 4" xfId="10059" xr:uid="{973CFD1C-6F48-4913-935F-4DF7D486EFD7}"/>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9C72F7EC-66BA-4FBE-89A3-F5FC9DE4AC76}"/>
    <cellStyle name="40% - Accent6 2 2 6 2 3" xfId="12617" xr:uid="{CB96ADFC-1B66-4EBB-B035-C0454CA917DF}"/>
    <cellStyle name="40% - Accent6 2 2 6 3" xfId="6248" xr:uid="{00000000-0005-0000-0000-000007070000}"/>
    <cellStyle name="40% - Accent6 2 2 6 3 2" xfId="14690" xr:uid="{4567F909-6F55-46C6-A94E-7B765B425E31}"/>
    <cellStyle name="40% - Accent6 2 2 6 4" xfId="10472" xr:uid="{A3E7B1FF-7FC9-461F-B46B-EF0067A9BCC8}"/>
    <cellStyle name="40% - Accent6 2 2 7" xfId="2354" xr:uid="{00000000-0005-0000-0000-000008070000}"/>
    <cellStyle name="40% - Accent6 2 2 7 2" xfId="6661" xr:uid="{00000000-0005-0000-0000-000009070000}"/>
    <cellStyle name="40% - Accent6 2 2 7 2 2" xfId="15103" xr:uid="{B88B003D-1536-4300-91FA-0C35005E1469}"/>
    <cellStyle name="40% - Accent6 2 2 7 3" xfId="10885" xr:uid="{B942D2DC-7263-4DD3-B90F-1A2FDD61E719}"/>
    <cellStyle name="40% - Accent6 2 2 8" xfId="4595" xr:uid="{00000000-0005-0000-0000-00000A070000}"/>
    <cellStyle name="40% - Accent6 2 2 8 2" xfId="13037" xr:uid="{572869BB-D33E-4BB9-BD6F-ECDE75DED54F}"/>
    <cellStyle name="40% - Accent6 2 2 9" xfId="8819" xr:uid="{79274420-106C-48BB-8813-3A0914C0401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29741AC2-4793-419D-BCB9-F9DB58A06C8D}"/>
    <cellStyle name="40% - Accent6 2 3 2 2 3" xfId="11380" xr:uid="{9F68D673-FD77-4E6E-A66E-FCEC6224187D}"/>
    <cellStyle name="40% - Accent6 2 3 2 3" xfId="5011" xr:uid="{00000000-0005-0000-0000-00000F070000}"/>
    <cellStyle name="40% - Accent6 2 3 2 3 2" xfId="13453" xr:uid="{A5C48687-A1F3-4027-BB8B-CD104303AA71}"/>
    <cellStyle name="40% - Accent6 2 3 2 4" xfId="9235" xr:uid="{1ED7F0B7-4C09-4619-8CA5-99F80F375FB7}"/>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075BD2F5-CE73-4BBF-B777-4E160133F6A7}"/>
    <cellStyle name="40% - Accent6 2 3 3 2 3" xfId="11793" xr:uid="{4F898A44-833E-4954-88D1-2E2754B27832}"/>
    <cellStyle name="40% - Accent6 2 3 3 3" xfId="5424" xr:uid="{00000000-0005-0000-0000-000013070000}"/>
    <cellStyle name="40% - Accent6 2 3 3 3 2" xfId="13866" xr:uid="{FC2A7EAE-FA51-4A3F-B5D4-24B9576DE497}"/>
    <cellStyle name="40% - Accent6 2 3 3 4" xfId="9648" xr:uid="{F66A7931-1B27-40D0-8C2D-815D10CAC31C}"/>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BDA4502A-BA26-4325-8A3B-6727CE4562A1}"/>
    <cellStyle name="40% - Accent6 2 3 4 2 3" xfId="12206" xr:uid="{B8C501D3-B4A2-4328-9302-CF0AFE387444}"/>
    <cellStyle name="40% - Accent6 2 3 4 3" xfId="5837" xr:uid="{00000000-0005-0000-0000-000017070000}"/>
    <cellStyle name="40% - Accent6 2 3 4 3 2" xfId="14279" xr:uid="{F1293B08-6787-46C4-8EED-AECA064F9626}"/>
    <cellStyle name="40% - Accent6 2 3 4 4" xfId="10061" xr:uid="{6558F84A-BD42-4A19-B45D-9FAA7C957570}"/>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11096CCB-A6B9-455A-8906-18FDBB293899}"/>
    <cellStyle name="40% - Accent6 2 3 5 2 3" xfId="12619" xr:uid="{7A2F2994-8387-497C-8127-735E0B5CB754}"/>
    <cellStyle name="40% - Accent6 2 3 5 3" xfId="6250" xr:uid="{00000000-0005-0000-0000-00001B070000}"/>
    <cellStyle name="40% - Accent6 2 3 5 3 2" xfId="14692" xr:uid="{7C3900C3-6A3D-4249-85DD-248406F61083}"/>
    <cellStyle name="40% - Accent6 2 3 5 4" xfId="10474" xr:uid="{945F968B-9B90-41DF-BC07-32551D43E1BA}"/>
    <cellStyle name="40% - Accent6 2 3 6" xfId="2356" xr:uid="{00000000-0005-0000-0000-00001C070000}"/>
    <cellStyle name="40% - Accent6 2 3 6 2" xfId="6663" xr:uid="{00000000-0005-0000-0000-00001D070000}"/>
    <cellStyle name="40% - Accent6 2 3 6 2 2" xfId="15105" xr:uid="{49978017-D7C2-418D-B107-F7B5231E53E1}"/>
    <cellStyle name="40% - Accent6 2 3 6 3" xfId="10887" xr:uid="{C813E7CC-E3F5-4D6B-9591-02DEB5580AE0}"/>
    <cellStyle name="40% - Accent6 2 3 7" xfId="4597" xr:uid="{00000000-0005-0000-0000-00001E070000}"/>
    <cellStyle name="40% - Accent6 2 3 7 2" xfId="13039" xr:uid="{722B4FF7-905B-42CB-8A61-25C553C783E1}"/>
    <cellStyle name="40% - Accent6 2 3 8" xfId="8821" xr:uid="{AB755B15-FDB3-4612-B837-6D4823876BBE}"/>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A896040F-EB8D-4FED-9D6F-27DAB1D0F5D3}"/>
    <cellStyle name="40% - Accent6 2 4 2 3" xfId="11377" xr:uid="{5AE1C913-E4E6-4730-B633-E0277EDE337F}"/>
    <cellStyle name="40% - Accent6 2 4 3" xfId="5008" xr:uid="{00000000-0005-0000-0000-000022070000}"/>
    <cellStyle name="40% - Accent6 2 4 3 2" xfId="13450" xr:uid="{AA7C15F7-539D-4450-A30F-A53F42538FB8}"/>
    <cellStyle name="40% - Accent6 2 4 4" xfId="9232" xr:uid="{91023DF8-0630-4DCC-BE0D-78BC3F9D56D1}"/>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D61C29D4-8BB3-408A-B5EA-7EF2D661E19F}"/>
    <cellStyle name="40% - Accent6 2 5 2 3" xfId="11790" xr:uid="{4B0CD671-A7D5-4356-8FF5-40FB33A2C2B8}"/>
    <cellStyle name="40% - Accent6 2 5 3" xfId="5421" xr:uid="{00000000-0005-0000-0000-000026070000}"/>
    <cellStyle name="40% - Accent6 2 5 3 2" xfId="13863" xr:uid="{0EA812C7-2F5D-46AF-BD5D-D0E6876D1BCA}"/>
    <cellStyle name="40% - Accent6 2 5 4" xfId="9645" xr:uid="{5EDD7A80-7B7C-419E-A57B-832E86DBFED3}"/>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ABF4274F-C0EE-4FFC-83A8-8BEE19C99627}"/>
    <cellStyle name="40% - Accent6 2 6 2 3" xfId="12203" xr:uid="{3D0C203C-EFE9-414B-B294-B21EEF3C1D85}"/>
    <cellStyle name="40% - Accent6 2 6 3" xfId="5834" xr:uid="{00000000-0005-0000-0000-00002A070000}"/>
    <cellStyle name="40% - Accent6 2 6 3 2" xfId="14276" xr:uid="{358CD358-80DF-4537-B6EB-EE1984E7EC16}"/>
    <cellStyle name="40% - Accent6 2 6 4" xfId="10058" xr:uid="{7A79600B-A267-4B8F-8FBF-4D4984F9AE70}"/>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BF112A1D-E169-4DCD-B068-525AA9E83898}"/>
    <cellStyle name="40% - Accent6 2 7 2 3" xfId="12616" xr:uid="{02016816-4505-419C-8C65-91FEB327B5D8}"/>
    <cellStyle name="40% - Accent6 2 7 3" xfId="6247" xr:uid="{00000000-0005-0000-0000-00002E070000}"/>
    <cellStyle name="40% - Accent6 2 7 3 2" xfId="14689" xr:uid="{DD8AF6A3-F433-4B08-983B-50648A6EBDF6}"/>
    <cellStyle name="40% - Accent6 2 7 4" xfId="10471" xr:uid="{A24CCFEE-77F1-45F0-A448-2671D935CA36}"/>
    <cellStyle name="40% - Accent6 2 8" xfId="2353" xr:uid="{00000000-0005-0000-0000-00002F070000}"/>
    <cellStyle name="40% - Accent6 2 8 2" xfId="6660" xr:uid="{00000000-0005-0000-0000-000030070000}"/>
    <cellStyle name="40% - Accent6 2 8 2 2" xfId="15102" xr:uid="{D507818B-5A2D-427E-94F8-E3DB46F53572}"/>
    <cellStyle name="40% - Accent6 2 8 3" xfId="10884" xr:uid="{B6A7C229-040B-44B1-99E4-A24D7D02B4B0}"/>
    <cellStyle name="40% - Accent6 2 9" xfId="4594" xr:uid="{00000000-0005-0000-0000-000031070000}"/>
    <cellStyle name="40% - Accent6 2 9 2" xfId="13036" xr:uid="{96B0AC4F-D8D0-44E3-A691-B1B4DA5C8D63}"/>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8CA4DEA8-B19B-4A4C-920D-353270556961}"/>
    <cellStyle name="40% - Accent6 3 2 2 2 3" xfId="11382" xr:uid="{7852FB7E-E378-4148-8C93-861E7A7732D4}"/>
    <cellStyle name="40% - Accent6 3 2 2 3" xfId="5013" xr:uid="{00000000-0005-0000-0000-000037070000}"/>
    <cellStyle name="40% - Accent6 3 2 2 3 2" xfId="13455" xr:uid="{624C5271-1E0B-4AEC-A9BA-A992A07B2D69}"/>
    <cellStyle name="40% - Accent6 3 2 2 4" xfId="9237" xr:uid="{BCB5E469-2026-4396-ABA6-C18E4FDFB601}"/>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8E46A2C0-76CA-48FE-87BC-816F6D612984}"/>
    <cellStyle name="40% - Accent6 3 2 3 2 3" xfId="11795" xr:uid="{6A3C0052-F4A6-4D5C-BD32-C3B7B5D9CBEA}"/>
    <cellStyle name="40% - Accent6 3 2 3 3" xfId="5426" xr:uid="{00000000-0005-0000-0000-00003B070000}"/>
    <cellStyle name="40% - Accent6 3 2 3 3 2" xfId="13868" xr:uid="{6C555FA8-1E98-4649-849B-A7F2CEE6D7F2}"/>
    <cellStyle name="40% - Accent6 3 2 3 4" xfId="9650" xr:uid="{919E5F66-C124-48F3-AFE8-6558C8830BFA}"/>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57547309-90B8-4F62-8E56-A72B277AF2A4}"/>
    <cellStyle name="40% - Accent6 3 2 4 2 3" xfId="12208" xr:uid="{F03AFEE2-51F8-41C9-9A70-9DB0FEFF79B0}"/>
    <cellStyle name="40% - Accent6 3 2 4 3" xfId="5839" xr:uid="{00000000-0005-0000-0000-00003F070000}"/>
    <cellStyle name="40% - Accent6 3 2 4 3 2" xfId="14281" xr:uid="{1B38F2EA-5FEE-45D3-A6AF-32E55AF3AFC3}"/>
    <cellStyle name="40% - Accent6 3 2 4 4" xfId="10063" xr:uid="{59C47D0B-4923-46AE-9A66-A8F80913E0C2}"/>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7FA3A0D3-F806-48F3-81F6-3511D16F8AC8}"/>
    <cellStyle name="40% - Accent6 3 2 5 2 3" xfId="12621" xr:uid="{432E21F8-1999-46DB-AAA4-81267A4AA4D2}"/>
    <cellStyle name="40% - Accent6 3 2 5 3" xfId="6252" xr:uid="{00000000-0005-0000-0000-000043070000}"/>
    <cellStyle name="40% - Accent6 3 2 5 3 2" xfId="14694" xr:uid="{B38CB5B6-592E-4EAA-A43F-98CB4C8BC1BF}"/>
    <cellStyle name="40% - Accent6 3 2 5 4" xfId="10476" xr:uid="{30C3A943-4842-419F-ACA4-7B6D290624B7}"/>
    <cellStyle name="40% - Accent6 3 2 6" xfId="2358" xr:uid="{00000000-0005-0000-0000-000044070000}"/>
    <cellStyle name="40% - Accent6 3 2 6 2" xfId="6665" xr:uid="{00000000-0005-0000-0000-000045070000}"/>
    <cellStyle name="40% - Accent6 3 2 6 2 2" xfId="15107" xr:uid="{9ADFC063-317B-4E62-914B-69E0338D0D6D}"/>
    <cellStyle name="40% - Accent6 3 2 6 3" xfId="10889" xr:uid="{EEDB59CD-3DEF-4352-8798-060EEE556874}"/>
    <cellStyle name="40% - Accent6 3 2 7" xfId="4599" xr:uid="{00000000-0005-0000-0000-000046070000}"/>
    <cellStyle name="40% - Accent6 3 2 7 2" xfId="13041" xr:uid="{76BCF185-D233-4677-B59C-77EA2EA24032}"/>
    <cellStyle name="40% - Accent6 3 2 8" xfId="8823" xr:uid="{80DB10AB-C761-4A88-89B5-1180AFFB0897}"/>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1C6425BF-6DB6-4FB4-8D89-C5F12ABC79D7}"/>
    <cellStyle name="40% - Accent6 3 3 2 3" xfId="11381" xr:uid="{39877C57-7060-4217-A992-E2E901BDE523}"/>
    <cellStyle name="40% - Accent6 3 3 3" xfId="5012" xr:uid="{00000000-0005-0000-0000-00004A070000}"/>
    <cellStyle name="40% - Accent6 3 3 3 2" xfId="13454" xr:uid="{8CA71E26-EB4A-47B5-90C2-5111C849C8F2}"/>
    <cellStyle name="40% - Accent6 3 3 4" xfId="9236" xr:uid="{C9F995B7-65ED-4228-9046-9F7E8FC1D38A}"/>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9EC31CBA-D7E5-41BD-B748-BB673E45C395}"/>
    <cellStyle name="40% - Accent6 3 4 2 3" xfId="11794" xr:uid="{93C16F43-2309-45F2-AA39-8C5310652815}"/>
    <cellStyle name="40% - Accent6 3 4 3" xfId="5425" xr:uid="{00000000-0005-0000-0000-00004E070000}"/>
    <cellStyle name="40% - Accent6 3 4 3 2" xfId="13867" xr:uid="{1D4B3766-407C-4E99-81D0-B23365607494}"/>
    <cellStyle name="40% - Accent6 3 4 4" xfId="9649" xr:uid="{D61B8330-988D-4B28-85D6-E1537D686EA5}"/>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309FE6E0-9305-42B6-9E54-6E46E7DEB2CF}"/>
    <cellStyle name="40% - Accent6 3 5 2 3" xfId="12207" xr:uid="{E0A7D4AA-F5D0-43F3-B594-651712FC2F07}"/>
    <cellStyle name="40% - Accent6 3 5 3" xfId="5838" xr:uid="{00000000-0005-0000-0000-000052070000}"/>
    <cellStyle name="40% - Accent6 3 5 3 2" xfId="14280" xr:uid="{0BD12EC2-CE81-4819-9C6E-A8114FA1E907}"/>
    <cellStyle name="40% - Accent6 3 5 4" xfId="10062" xr:uid="{773482B4-0655-4D17-9298-47BA13834539}"/>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CFC4CC91-17C6-47CE-911B-CD84CFAC6C7B}"/>
    <cellStyle name="40% - Accent6 3 6 2 3" xfId="12620" xr:uid="{32524529-53E0-42A3-A4A1-CE3167A97D4A}"/>
    <cellStyle name="40% - Accent6 3 6 3" xfId="6251" xr:uid="{00000000-0005-0000-0000-000056070000}"/>
    <cellStyle name="40% - Accent6 3 6 3 2" xfId="14693" xr:uid="{289C666F-2092-4AF6-835B-1B84BF8BC202}"/>
    <cellStyle name="40% - Accent6 3 6 4" xfId="10475" xr:uid="{3CBA76B5-4B05-4A0C-AB69-3462DA89AD0A}"/>
    <cellStyle name="40% - Accent6 3 7" xfId="2357" xr:uid="{00000000-0005-0000-0000-000057070000}"/>
    <cellStyle name="40% - Accent6 3 7 2" xfId="6664" xr:uid="{00000000-0005-0000-0000-000058070000}"/>
    <cellStyle name="40% - Accent6 3 7 2 2" xfId="15106" xr:uid="{D37895F0-EE02-4618-803D-F734A21800DB}"/>
    <cellStyle name="40% - Accent6 3 7 3" xfId="10888" xr:uid="{3C9A91C8-E38D-4219-ADDE-7A87D04ACA7C}"/>
    <cellStyle name="40% - Accent6 3 8" xfId="4598" xr:uid="{00000000-0005-0000-0000-000059070000}"/>
    <cellStyle name="40% - Accent6 3 8 2" xfId="13040" xr:uid="{4EEFEEEB-9267-48EA-AF53-B47E96DD2FB9}"/>
    <cellStyle name="40% - Accent6 3 9" xfId="8822" xr:uid="{35C23BA7-F3F9-4118-A092-6432907D4D8D}"/>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F51D6A2B-6F2E-42E4-82BE-3EB63766AB59}"/>
    <cellStyle name="40% - Accent6 4 2 2 3" xfId="11383" xr:uid="{5E500275-3C88-4333-AD8D-174229AF998C}"/>
    <cellStyle name="40% - Accent6 4 2 3" xfId="5014" xr:uid="{00000000-0005-0000-0000-00005E070000}"/>
    <cellStyle name="40% - Accent6 4 2 3 2" xfId="13456" xr:uid="{0083DD5E-7F66-4440-B6C9-3AE502D82C50}"/>
    <cellStyle name="40% - Accent6 4 2 4" xfId="9238" xr:uid="{FA2844F7-A70A-4413-8D35-B5A4B57EB292}"/>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21EF4648-4F8A-4AE0-9777-0454201FAE26}"/>
    <cellStyle name="40% - Accent6 4 3 2 3" xfId="11796" xr:uid="{BE39A3D1-5224-4789-8D98-6681A37BFCCA}"/>
    <cellStyle name="40% - Accent6 4 3 3" xfId="5427" xr:uid="{00000000-0005-0000-0000-000062070000}"/>
    <cellStyle name="40% - Accent6 4 3 3 2" xfId="13869" xr:uid="{6D3A3650-947F-4E78-BF7F-45295D283D5C}"/>
    <cellStyle name="40% - Accent6 4 3 4" xfId="9651" xr:uid="{A228CE3B-869D-4522-B5F5-B12044FDFB12}"/>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82A46BDF-F2F5-4D5B-9FD1-092D6BD93D3F}"/>
    <cellStyle name="40% - Accent6 4 4 2 3" xfId="12209" xr:uid="{3D105F60-68AF-4CB2-94C9-59BD8DFCF031}"/>
    <cellStyle name="40% - Accent6 4 4 3" xfId="5840" xr:uid="{00000000-0005-0000-0000-000066070000}"/>
    <cellStyle name="40% - Accent6 4 4 3 2" xfId="14282" xr:uid="{5AE96307-0956-44B7-9120-DC7251F67F25}"/>
    <cellStyle name="40% - Accent6 4 4 4" xfId="10064" xr:uid="{0B74381C-2B20-4A9F-A4B4-178F273B7171}"/>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ADDE81D4-5BC9-4B65-9921-43AACCED434C}"/>
    <cellStyle name="40% - Accent6 4 5 2 3" xfId="12622" xr:uid="{C0E1BBC5-30A5-4251-9559-B24C8DAFCBF8}"/>
    <cellStyle name="40% - Accent6 4 5 3" xfId="6253" xr:uid="{00000000-0005-0000-0000-00006A070000}"/>
    <cellStyle name="40% - Accent6 4 5 3 2" xfId="14695" xr:uid="{AE6C8754-846C-48CF-811C-F7CC2E9D1BCC}"/>
    <cellStyle name="40% - Accent6 4 5 4" xfId="10477" xr:uid="{61711D8F-0FF6-45E0-B62A-D87123B4D5FA}"/>
    <cellStyle name="40% - Accent6 4 6" xfId="2359" xr:uid="{00000000-0005-0000-0000-00006B070000}"/>
    <cellStyle name="40% - Accent6 4 6 2" xfId="6666" xr:uid="{00000000-0005-0000-0000-00006C070000}"/>
    <cellStyle name="40% - Accent6 4 6 2 2" xfId="15108" xr:uid="{C680CE42-91EB-4408-80AD-4F1A666D2F78}"/>
    <cellStyle name="40% - Accent6 4 6 3" xfId="10890" xr:uid="{FB095FA4-3D71-4076-A2F6-F9479E292E9C}"/>
    <cellStyle name="40% - Accent6 4 7" xfId="4600" xr:uid="{00000000-0005-0000-0000-00006D070000}"/>
    <cellStyle name="40% - Accent6 4 7 2" xfId="13042" xr:uid="{C3BB8967-0281-4B3A-8B22-4A0B34F62C0D}"/>
    <cellStyle name="40% - Accent6 4 8" xfId="8824" xr:uid="{4AABC2F6-3A4E-4532-A623-0F7A55FEC784}"/>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B83DC832-ADCF-46A3-A297-63A490F1D878}"/>
    <cellStyle name="40% - Accent6 5 2 3" xfId="11376" xr:uid="{A605FBB8-85A0-49D9-88FF-F830DB4D70F1}"/>
    <cellStyle name="40% - Accent6 5 3" xfId="5007" xr:uid="{00000000-0005-0000-0000-000071070000}"/>
    <cellStyle name="40% - Accent6 5 3 2" xfId="13449" xr:uid="{B9D33BEE-AC96-471E-AD47-7A82CF43BF78}"/>
    <cellStyle name="40% - Accent6 5 4" xfId="9231" xr:uid="{ADCAA4D1-BB6F-4477-B084-67B1D1B463D8}"/>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7C678FB6-177C-4911-B49C-5C058547B5B3}"/>
    <cellStyle name="40% - Accent6 6 2 3" xfId="11789" xr:uid="{32E0A99A-9D9B-4A77-AEF9-8A2BD1D68C4A}"/>
    <cellStyle name="40% - Accent6 6 3" xfId="5420" xr:uid="{00000000-0005-0000-0000-000075070000}"/>
    <cellStyle name="40% - Accent6 6 3 2" xfId="13862" xr:uid="{714FBA52-4AF5-441A-AAFE-480AEFCF0474}"/>
    <cellStyle name="40% - Accent6 6 4" xfId="9644" xr:uid="{3457D562-C7E0-484D-A9B3-9210DA906D28}"/>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3F578FD9-A8C1-4D9C-9D27-92E07353E447}"/>
    <cellStyle name="40% - Accent6 7 2 3" xfId="12202" xr:uid="{66CD5482-7378-4139-8975-108526DE7FBD}"/>
    <cellStyle name="40% - Accent6 7 3" xfId="5833" xr:uid="{00000000-0005-0000-0000-000079070000}"/>
    <cellStyle name="40% - Accent6 7 3 2" xfId="14275" xr:uid="{FDBDA024-D96F-417C-A14C-B08D01257179}"/>
    <cellStyle name="40% - Accent6 7 4" xfId="10057" xr:uid="{4258955A-A995-4D64-8812-E082F02709F4}"/>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FB61655E-ECAD-4DA9-B608-ECFE74E575BF}"/>
    <cellStyle name="40% - Accent6 8 2 3" xfId="12615" xr:uid="{19B3F665-AE4F-462C-90A5-E6A739A5E8A7}"/>
    <cellStyle name="40% - Accent6 8 3" xfId="6246" xr:uid="{00000000-0005-0000-0000-00007D070000}"/>
    <cellStyle name="40% - Accent6 8 3 2" xfId="14688" xr:uid="{C8CB4C5C-C7F9-436E-90DF-797143311872}"/>
    <cellStyle name="40% - Accent6 8 4" xfId="10470" xr:uid="{72C961AE-0B73-48FB-9DCC-365D286F25D2}"/>
    <cellStyle name="40% - Accent6 9" xfId="2352" xr:uid="{00000000-0005-0000-0000-00007E070000}"/>
    <cellStyle name="40% - Accent6 9 2" xfId="6659" xr:uid="{00000000-0005-0000-0000-00007F070000}"/>
    <cellStyle name="40% - Accent6 9 2 2" xfId="15101" xr:uid="{7B500AE7-3223-4EBE-B325-13524996DB62}"/>
    <cellStyle name="40% - Accent6 9 3" xfId="10883" xr:uid="{13A0700A-3F2E-4F23-98B2-3AEE9E8BB48D}"/>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990ED058-C259-4D2B-9D21-978180E9C1C2}"/>
    <cellStyle name="Comma 4 2 2 2 10 3" xfId="11208" xr:uid="{974A8627-2841-4A06-917F-0FECD79B5026}"/>
    <cellStyle name="Comma 4 2 2 2 11" xfId="4601" xr:uid="{00000000-0005-0000-0000-0000A3070000}"/>
    <cellStyle name="Comma 4 2 2 2 11 2" xfId="13043" xr:uid="{A87D9EB8-415F-4EB5-8122-B5F8D397172A}"/>
    <cellStyle name="Comma 4 2 2 2 12" xfId="8825" xr:uid="{0A49D6FD-332F-4722-93E3-F6E3F52FE19F}"/>
    <cellStyle name="Comma 4 2 2 2 2" xfId="129" xr:uid="{00000000-0005-0000-0000-0000A4070000}"/>
    <cellStyle name="Comma 4 2 2 2 2 10" xfId="4602" xr:uid="{00000000-0005-0000-0000-0000A5070000}"/>
    <cellStyle name="Comma 4 2 2 2 2 10 2" xfId="13044" xr:uid="{700074D7-FD53-48C5-AA1B-D33BE88AA51B}"/>
    <cellStyle name="Comma 4 2 2 2 2 11" xfId="8826" xr:uid="{A367DDBE-9A28-4988-A379-AE7C0CEEB4C5}"/>
    <cellStyle name="Comma 4 2 2 2 2 2" xfId="130" xr:uid="{00000000-0005-0000-0000-0000A6070000}"/>
    <cellStyle name="Comma 4 2 2 2 2 2 10" xfId="8827" xr:uid="{C16C9065-80E0-40E0-B433-41656B0449E9}"/>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98E3DBF4-B262-4652-B111-9DD398D6CE7C}"/>
    <cellStyle name="Comma 4 2 2 2 2 2 2 2 3" xfId="11386" xr:uid="{C68AFFBA-AA6B-400F-A494-4E4FE99C9DE7}"/>
    <cellStyle name="Comma 4 2 2 2 2 2 2 3" xfId="5017" xr:uid="{00000000-0005-0000-0000-0000AA070000}"/>
    <cellStyle name="Comma 4 2 2 2 2 2 2 3 2" xfId="13459" xr:uid="{5473CE64-42CB-4534-ACAD-49BA14C7CDBB}"/>
    <cellStyle name="Comma 4 2 2 2 2 2 2 4" xfId="9241" xr:uid="{D977B0EB-FE86-4971-8EA8-F29072113865}"/>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ABEFA533-80C5-4816-99BA-745ABC8313C6}"/>
    <cellStyle name="Comma 4 2 2 2 2 2 3 2 3" xfId="11799" xr:uid="{05110DB7-DD90-4D5F-8AB6-8148529CA42C}"/>
    <cellStyle name="Comma 4 2 2 2 2 2 3 3" xfId="5430" xr:uid="{00000000-0005-0000-0000-0000AE070000}"/>
    <cellStyle name="Comma 4 2 2 2 2 2 3 3 2" xfId="13872" xr:uid="{7285E524-CE31-4BAA-B3A1-0923C07E9C22}"/>
    <cellStyle name="Comma 4 2 2 2 2 2 3 4" xfId="9654" xr:uid="{92050C9C-EDAE-4BA7-B8AD-97A7FF5144C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4C088AC0-C443-41F7-8DFE-E659403A1DAC}"/>
    <cellStyle name="Comma 4 2 2 2 2 2 4 2 3" xfId="12212" xr:uid="{26DC7AF0-F20F-4664-AB25-23C2A40D6329}"/>
    <cellStyle name="Comma 4 2 2 2 2 2 4 3" xfId="5843" xr:uid="{00000000-0005-0000-0000-0000B2070000}"/>
    <cellStyle name="Comma 4 2 2 2 2 2 4 3 2" xfId="14285" xr:uid="{8DD9AE65-50D8-42E1-8FC3-4A5398E2B74F}"/>
    <cellStyle name="Comma 4 2 2 2 2 2 4 4" xfId="10067" xr:uid="{8AB95912-5353-4A9D-93AE-8AD4DE9D3686}"/>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E3759E40-BEBB-4E00-B305-17910F8A737B}"/>
    <cellStyle name="Comma 4 2 2 2 2 2 5 2 3" xfId="12625" xr:uid="{73D3BCCA-F7F2-4F7C-8686-05D225A0C36E}"/>
    <cellStyle name="Comma 4 2 2 2 2 2 5 3" xfId="6256" xr:uid="{00000000-0005-0000-0000-0000B6070000}"/>
    <cellStyle name="Comma 4 2 2 2 2 2 5 3 2" xfId="14698" xr:uid="{F7E86C11-48BD-4EA9-B929-BCEFAFE1BE30}"/>
    <cellStyle name="Comma 4 2 2 2 2 2 5 4" xfId="10480" xr:uid="{8A91EA1E-0A08-45D0-B495-17012C58B4B0}"/>
    <cellStyle name="Comma 4 2 2 2 2 2 6" xfId="2384" xr:uid="{00000000-0005-0000-0000-0000B7070000}"/>
    <cellStyle name="Comma 4 2 2 2 2 2 6 2" xfId="6669" xr:uid="{00000000-0005-0000-0000-0000B8070000}"/>
    <cellStyle name="Comma 4 2 2 2 2 2 6 2 2" xfId="15111" xr:uid="{22F52B37-D777-41E0-B534-7E172A78945E}"/>
    <cellStyle name="Comma 4 2 2 2 2 2 6 3" xfId="10893" xr:uid="{5B859930-003F-49FD-B322-9D51A533229D}"/>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E02B447A-58B5-4E0D-8BC0-62F8ACA8AD00}"/>
    <cellStyle name="Comma 4 2 2 2 2 2 8 3" xfId="11210" xr:uid="{B5A14363-25E5-4CC5-8DCE-E1E431D98D1C}"/>
    <cellStyle name="Comma 4 2 2 2 2 2 9" xfId="4603" xr:uid="{00000000-0005-0000-0000-0000BC070000}"/>
    <cellStyle name="Comma 4 2 2 2 2 2 9 2" xfId="13045" xr:uid="{09E8E52B-31F9-46A7-86EE-DF397C304932}"/>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94356B71-B772-4155-A919-CE16EC9CEF50}"/>
    <cellStyle name="Comma 4 2 2 2 2 3 2 3" xfId="11385" xr:uid="{1C05D652-20FC-4894-9ADB-1C5C0AFEE1C3}"/>
    <cellStyle name="Comma 4 2 2 2 2 3 3" xfId="5016" xr:uid="{00000000-0005-0000-0000-0000C0070000}"/>
    <cellStyle name="Comma 4 2 2 2 2 3 3 2" xfId="13458" xr:uid="{59073417-C01E-4441-8ACC-5424D5A34E77}"/>
    <cellStyle name="Comma 4 2 2 2 2 3 4" xfId="9240" xr:uid="{E932C55A-5629-45F5-BB69-A7266D814EFF}"/>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A727B1C7-EDA6-4A0F-8955-59B616A48FB9}"/>
    <cellStyle name="Comma 4 2 2 2 2 4 2 3" xfId="11798" xr:uid="{8710D947-52F3-443E-A67C-44A4D76A8CF9}"/>
    <cellStyle name="Comma 4 2 2 2 2 4 3" xfId="5429" xr:uid="{00000000-0005-0000-0000-0000C4070000}"/>
    <cellStyle name="Comma 4 2 2 2 2 4 3 2" xfId="13871" xr:uid="{FB2E0DD0-C755-4EDB-89D5-4B0D2BAE3D26}"/>
    <cellStyle name="Comma 4 2 2 2 2 4 4" xfId="9653" xr:uid="{B5AB577E-761F-4717-8CFE-A0E5BBFFE524}"/>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C8F7527D-12DC-4A04-9D94-A0164F293BCD}"/>
    <cellStyle name="Comma 4 2 2 2 2 5 2 3" xfId="12211" xr:uid="{81564D04-2C7A-4535-A0A2-27EB74BCD4BE}"/>
    <cellStyle name="Comma 4 2 2 2 2 5 3" xfId="5842" xr:uid="{00000000-0005-0000-0000-0000C8070000}"/>
    <cellStyle name="Comma 4 2 2 2 2 5 3 2" xfId="14284" xr:uid="{F437ECD2-03DD-4D1A-8EE3-20DE06C32D80}"/>
    <cellStyle name="Comma 4 2 2 2 2 5 4" xfId="10066" xr:uid="{A77BF3D6-A8CE-492F-8D29-E7C28413A73A}"/>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3E5C65D1-2433-42D5-871D-2C35EE837F15}"/>
    <cellStyle name="Comma 4 2 2 2 2 6 2 3" xfId="12624" xr:uid="{82B0F274-43D2-4526-98ED-73A66E02C7F2}"/>
    <cellStyle name="Comma 4 2 2 2 2 6 3" xfId="6255" xr:uid="{00000000-0005-0000-0000-0000CC070000}"/>
    <cellStyle name="Comma 4 2 2 2 2 6 3 2" xfId="14697" xr:uid="{A2037D0F-83DF-41C0-9712-318B60DC240E}"/>
    <cellStyle name="Comma 4 2 2 2 2 6 4" xfId="10479" xr:uid="{B32B28C0-F7C3-43FA-92FF-39DD3AD4A8A2}"/>
    <cellStyle name="Comma 4 2 2 2 2 7" xfId="2383" xr:uid="{00000000-0005-0000-0000-0000CD070000}"/>
    <cellStyle name="Comma 4 2 2 2 2 7 2" xfId="6668" xr:uid="{00000000-0005-0000-0000-0000CE070000}"/>
    <cellStyle name="Comma 4 2 2 2 2 7 2 2" xfId="15110" xr:uid="{C7C6C792-60AA-41A9-8B8E-B04EFF7D7C47}"/>
    <cellStyle name="Comma 4 2 2 2 2 7 3" xfId="10892" xr:uid="{85DE54E3-0AC5-4110-B4ED-349610737690}"/>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4B0B83C0-A088-4AEF-96FF-A779638D4340}"/>
    <cellStyle name="Comma 4 2 2 2 2 9 3" xfId="11209" xr:uid="{AD45D36F-1956-48F5-B6E8-40AE4C248527}"/>
    <cellStyle name="Comma 4 2 2 2 3" xfId="131" xr:uid="{00000000-0005-0000-0000-0000D2070000}"/>
    <cellStyle name="Comma 4 2 2 2 3 10" xfId="8828" xr:uid="{B4D67657-F31E-4B7A-90DE-29B7001B59A5}"/>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1D317F64-59D9-4BD4-9D65-40CEF3289C88}"/>
    <cellStyle name="Comma 4 2 2 2 3 2 2 3" xfId="11387" xr:uid="{B1C7A7F7-F34D-4F93-A43B-061D7BB77D79}"/>
    <cellStyle name="Comma 4 2 2 2 3 2 3" xfId="5018" xr:uid="{00000000-0005-0000-0000-0000D6070000}"/>
    <cellStyle name="Comma 4 2 2 2 3 2 3 2" xfId="13460" xr:uid="{8642EE43-97A3-4D72-9CA2-FD5682C02285}"/>
    <cellStyle name="Comma 4 2 2 2 3 2 4" xfId="9242" xr:uid="{35D99D5A-30EF-4396-9346-F0B74847BCAF}"/>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CAF4505D-15D1-4642-882B-12733CDF1370}"/>
    <cellStyle name="Comma 4 2 2 2 3 3 2 3" xfId="11800" xr:uid="{F03AFE9E-440B-48E5-952F-BC7DCF161247}"/>
    <cellStyle name="Comma 4 2 2 2 3 3 3" xfId="5431" xr:uid="{00000000-0005-0000-0000-0000DA070000}"/>
    <cellStyle name="Comma 4 2 2 2 3 3 3 2" xfId="13873" xr:uid="{5776AA06-C524-4CBA-8ABF-86717C4AEAE0}"/>
    <cellStyle name="Comma 4 2 2 2 3 3 4" xfId="9655" xr:uid="{BCDD7732-CCA5-40B0-BADD-9621CB81B5FD}"/>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59F00C0F-6447-4156-8BBB-DF76472009BB}"/>
    <cellStyle name="Comma 4 2 2 2 3 4 2 3" xfId="12213" xr:uid="{C591192D-733C-4638-A0C2-5BA7EE563558}"/>
    <cellStyle name="Comma 4 2 2 2 3 4 3" xfId="5844" xr:uid="{00000000-0005-0000-0000-0000DE070000}"/>
    <cellStyle name="Comma 4 2 2 2 3 4 3 2" xfId="14286" xr:uid="{4C8453AB-B0DA-4522-83FB-49AF3627A688}"/>
    <cellStyle name="Comma 4 2 2 2 3 4 4" xfId="10068" xr:uid="{79E10F60-C180-4182-BF68-C701A39CCF83}"/>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DD98B6B4-8D02-47A8-A410-F941637031C5}"/>
    <cellStyle name="Comma 4 2 2 2 3 5 2 3" xfId="12626" xr:uid="{44628BA5-BC23-442E-A53C-242D49AE0CA3}"/>
    <cellStyle name="Comma 4 2 2 2 3 5 3" xfId="6257" xr:uid="{00000000-0005-0000-0000-0000E2070000}"/>
    <cellStyle name="Comma 4 2 2 2 3 5 3 2" xfId="14699" xr:uid="{3D367EFD-65CB-4946-BAE0-B867BF52F587}"/>
    <cellStyle name="Comma 4 2 2 2 3 5 4" xfId="10481" xr:uid="{B7933FFA-0299-44B8-96CC-61C4A215F62E}"/>
    <cellStyle name="Comma 4 2 2 2 3 6" xfId="2385" xr:uid="{00000000-0005-0000-0000-0000E3070000}"/>
    <cellStyle name="Comma 4 2 2 2 3 6 2" xfId="6670" xr:uid="{00000000-0005-0000-0000-0000E4070000}"/>
    <cellStyle name="Comma 4 2 2 2 3 6 2 2" xfId="15112" xr:uid="{FC0E819C-7934-445A-9DE7-1F070882AC6A}"/>
    <cellStyle name="Comma 4 2 2 2 3 6 3" xfId="10894" xr:uid="{7D6D6B9E-66DA-4BA5-857A-54E8A915F2A9}"/>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CE721E9E-8B79-4F45-8E9D-9DE6E5066457}"/>
    <cellStyle name="Comma 4 2 2 2 3 8 3" xfId="11211" xr:uid="{0E4CE334-4C4B-4282-A680-FF7CBFD27330}"/>
    <cellStyle name="Comma 4 2 2 2 3 9" xfId="4604" xr:uid="{00000000-0005-0000-0000-0000E8070000}"/>
    <cellStyle name="Comma 4 2 2 2 3 9 2" xfId="13046" xr:uid="{1968FE32-E0AC-474B-A8A4-474F4E03A90D}"/>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643D85D9-3D46-4D16-96B0-0BB46B75CA74}"/>
    <cellStyle name="Comma 4 2 2 2 4 2 3" xfId="11384" xr:uid="{7EB25607-23B1-4F87-BA18-9FC416F0D596}"/>
    <cellStyle name="Comma 4 2 2 2 4 3" xfId="5015" xr:uid="{00000000-0005-0000-0000-0000EC070000}"/>
    <cellStyle name="Comma 4 2 2 2 4 3 2" xfId="13457" xr:uid="{8A38333D-87BF-49F2-847C-5F24C56BCDDE}"/>
    <cellStyle name="Comma 4 2 2 2 4 4" xfId="9239" xr:uid="{8EBA9E29-2BA3-4933-AD6D-296781F8E5D1}"/>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3AA56622-946F-43F7-97D8-38B1E4F5A105}"/>
    <cellStyle name="Comma 4 2 2 2 5 2 3" xfId="11797" xr:uid="{AA1E4DF6-E52A-436B-A1F9-A165EC0FF56C}"/>
    <cellStyle name="Comma 4 2 2 2 5 3" xfId="5428" xr:uid="{00000000-0005-0000-0000-0000F0070000}"/>
    <cellStyle name="Comma 4 2 2 2 5 3 2" xfId="13870" xr:uid="{96C19B31-A612-4B5F-A988-0E41823B367F}"/>
    <cellStyle name="Comma 4 2 2 2 5 4" xfId="9652" xr:uid="{A2010C95-2DFA-4196-A5F7-145E30F70217}"/>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9B90623B-AE64-4B66-9D6C-DAB5EC5E39A8}"/>
    <cellStyle name="Comma 4 2 2 2 6 2 3" xfId="12210" xr:uid="{1C8EC851-4013-4200-864E-27BAACC4CA03}"/>
    <cellStyle name="Comma 4 2 2 2 6 3" xfId="5841" xr:uid="{00000000-0005-0000-0000-0000F4070000}"/>
    <cellStyle name="Comma 4 2 2 2 6 3 2" xfId="14283" xr:uid="{19C5FC7C-C618-470D-8673-B91315B4CB70}"/>
    <cellStyle name="Comma 4 2 2 2 6 4" xfId="10065" xr:uid="{74898E43-4480-4EAD-85A2-4D4466C4B3B4}"/>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CC43893B-69FD-4B87-BA80-3DACC01CAB09}"/>
    <cellStyle name="Comma 4 2 2 2 7 2 3" xfId="12623" xr:uid="{A43AC72E-CAF3-41A0-A2A8-B7108E7C8AE7}"/>
    <cellStyle name="Comma 4 2 2 2 7 3" xfId="6254" xr:uid="{00000000-0005-0000-0000-0000F8070000}"/>
    <cellStyle name="Comma 4 2 2 2 7 3 2" xfId="14696" xr:uid="{D53E126E-D7B2-448B-B852-8091285ADA9D}"/>
    <cellStyle name="Comma 4 2 2 2 7 4" xfId="10478" xr:uid="{C6F9B674-DAFD-4B1E-9075-14DA5A0D28DE}"/>
    <cellStyle name="Comma 4 2 2 2 8" xfId="2382" xr:uid="{00000000-0005-0000-0000-0000F9070000}"/>
    <cellStyle name="Comma 4 2 2 2 8 2" xfId="6667" xr:uid="{00000000-0005-0000-0000-0000FA070000}"/>
    <cellStyle name="Comma 4 2 2 2 8 2 2" xfId="15109" xr:uid="{FEF02209-E2C3-44AC-81A5-84604B8B15E5}"/>
    <cellStyle name="Comma 4 2 2 2 8 3" xfId="10891" xr:uid="{D2D8404E-D0E3-4A11-A372-E268BBAAC68E}"/>
    <cellStyle name="Comma 4 2 2 2 9" xfId="2381" xr:uid="{00000000-0005-0000-0000-0000FB070000}"/>
    <cellStyle name="Comma 4 2 2 3" xfId="132" xr:uid="{00000000-0005-0000-0000-0000FC070000}"/>
    <cellStyle name="Comma 4 2 2 3 10" xfId="4605" xr:uid="{00000000-0005-0000-0000-0000FD070000}"/>
    <cellStyle name="Comma 4 2 2 3 10 2" xfId="13047" xr:uid="{EA3BE520-1504-4816-84F2-CE5868132921}"/>
    <cellStyle name="Comma 4 2 2 3 11" xfId="8829" xr:uid="{AF410025-052A-4FAC-895A-6C42CE717380}"/>
    <cellStyle name="Comma 4 2 2 3 2" xfId="133" xr:uid="{00000000-0005-0000-0000-0000FE070000}"/>
    <cellStyle name="Comma 4 2 2 3 2 10" xfId="8830" xr:uid="{F0BAB350-2437-4D20-9F63-D214F6C11E7F}"/>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CF85D182-5665-40B8-BBBF-AC738869A781}"/>
    <cellStyle name="Comma 4 2 2 3 2 2 2 3" xfId="11389" xr:uid="{AE7A8A9B-A94B-46CE-AF12-B24C9F2453E8}"/>
    <cellStyle name="Comma 4 2 2 3 2 2 3" xfId="5020" xr:uid="{00000000-0005-0000-0000-000002080000}"/>
    <cellStyle name="Comma 4 2 2 3 2 2 3 2" xfId="13462" xr:uid="{1D71390F-76BA-42C7-9CBF-C2F1B43A3A1F}"/>
    <cellStyle name="Comma 4 2 2 3 2 2 4" xfId="9244" xr:uid="{063C878B-E07B-4A78-99DE-D39A21C67BF1}"/>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6DEA76DA-EBCE-4D8B-801E-319468C0BC05}"/>
    <cellStyle name="Comma 4 2 2 3 2 3 2 3" xfId="11802" xr:uid="{3FD5A0C7-E877-4966-8802-B879828E2F9D}"/>
    <cellStyle name="Comma 4 2 2 3 2 3 3" xfId="5433" xr:uid="{00000000-0005-0000-0000-000006080000}"/>
    <cellStyle name="Comma 4 2 2 3 2 3 3 2" xfId="13875" xr:uid="{EF68E29B-C603-4D9F-9A06-7920AC3EE4AB}"/>
    <cellStyle name="Comma 4 2 2 3 2 3 4" xfId="9657" xr:uid="{49FB62EA-9D57-4A8A-8B6E-9F87B53F8B66}"/>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7DD27CA7-582A-42DA-A51F-D344684A19AF}"/>
    <cellStyle name="Comma 4 2 2 3 2 4 2 3" xfId="12215" xr:uid="{7AB67289-4898-4203-B9EE-FC7A0DFA1B4F}"/>
    <cellStyle name="Comma 4 2 2 3 2 4 3" xfId="5846" xr:uid="{00000000-0005-0000-0000-00000A080000}"/>
    <cellStyle name="Comma 4 2 2 3 2 4 3 2" xfId="14288" xr:uid="{427F9B03-9120-474A-9D7A-94AE3B6DAA79}"/>
    <cellStyle name="Comma 4 2 2 3 2 4 4" xfId="10070" xr:uid="{42358AA2-A4FF-4770-BEDD-ACC788527FF1}"/>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533669EE-8520-4BB0-A8CD-B3331F9EA9F5}"/>
    <cellStyle name="Comma 4 2 2 3 2 5 2 3" xfId="12628" xr:uid="{8F06DE9D-81E9-4388-BD31-B88B86B474F2}"/>
    <cellStyle name="Comma 4 2 2 3 2 5 3" xfId="6259" xr:uid="{00000000-0005-0000-0000-00000E080000}"/>
    <cellStyle name="Comma 4 2 2 3 2 5 3 2" xfId="14701" xr:uid="{2CEBD3B7-BF98-4D60-93E5-69402ADE911E}"/>
    <cellStyle name="Comma 4 2 2 3 2 5 4" xfId="10483" xr:uid="{EE56342A-D2CA-423F-B0CC-3EB795F7CC00}"/>
    <cellStyle name="Comma 4 2 2 3 2 6" xfId="2387" xr:uid="{00000000-0005-0000-0000-00000F080000}"/>
    <cellStyle name="Comma 4 2 2 3 2 6 2" xfId="6672" xr:uid="{00000000-0005-0000-0000-000010080000}"/>
    <cellStyle name="Comma 4 2 2 3 2 6 2 2" xfId="15114" xr:uid="{B00D19B9-9D5A-4829-820F-4760151045B5}"/>
    <cellStyle name="Comma 4 2 2 3 2 6 3" xfId="10896" xr:uid="{8393AD94-09B1-4D85-BC9C-1EEE1C749E93}"/>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01E6BED9-01B8-4D5F-9F08-FC5ED275F6B1}"/>
    <cellStyle name="Comma 4 2 2 3 2 8 3" xfId="11213" xr:uid="{BD54FB74-237D-4BEC-A11D-29C5012A0790}"/>
    <cellStyle name="Comma 4 2 2 3 2 9" xfId="4606" xr:uid="{00000000-0005-0000-0000-000014080000}"/>
    <cellStyle name="Comma 4 2 2 3 2 9 2" xfId="13048" xr:uid="{EA081063-400F-4DDE-BE66-366A263C2AF0}"/>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26AE4511-E4FC-4A0B-9508-1DEA26C33134}"/>
    <cellStyle name="Comma 4 2 2 3 3 2 3" xfId="11388" xr:uid="{669F4A50-C108-41FB-805C-0E257AF39F26}"/>
    <cellStyle name="Comma 4 2 2 3 3 3" xfId="5019" xr:uid="{00000000-0005-0000-0000-000018080000}"/>
    <cellStyle name="Comma 4 2 2 3 3 3 2" xfId="13461" xr:uid="{6652D3F2-05B5-4D68-8414-D50E626A070D}"/>
    <cellStyle name="Comma 4 2 2 3 3 4" xfId="9243" xr:uid="{2EA06DB6-6396-489B-94A3-19ABCD3ED333}"/>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3BDD3F9F-9C15-4279-8925-110C1C7962FE}"/>
    <cellStyle name="Comma 4 2 2 3 4 2 3" xfId="11801" xr:uid="{8150FE41-04D3-40DF-9671-F568E78212B7}"/>
    <cellStyle name="Comma 4 2 2 3 4 3" xfId="5432" xr:uid="{00000000-0005-0000-0000-00001C080000}"/>
    <cellStyle name="Comma 4 2 2 3 4 3 2" xfId="13874" xr:uid="{DCCDC090-30EF-4C2D-9D45-6C43CD50455F}"/>
    <cellStyle name="Comma 4 2 2 3 4 4" xfId="9656" xr:uid="{92E8521C-CD95-4F16-A832-1167A5F279E8}"/>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4BF15D10-6785-4925-AF5E-C0D8A3A2B1AF}"/>
    <cellStyle name="Comma 4 2 2 3 5 2 3" xfId="12214" xr:uid="{F22483E5-8B41-49BF-9FC9-4E65F061E2E9}"/>
    <cellStyle name="Comma 4 2 2 3 5 3" xfId="5845" xr:uid="{00000000-0005-0000-0000-000020080000}"/>
    <cellStyle name="Comma 4 2 2 3 5 3 2" xfId="14287" xr:uid="{222259FA-E694-4B4A-86CE-F386AD3AAD8F}"/>
    <cellStyle name="Comma 4 2 2 3 5 4" xfId="10069" xr:uid="{1623F25E-E41E-4747-9E7D-99649459A990}"/>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D87021E9-86FC-4EF9-9C92-3AD9CD21B655}"/>
    <cellStyle name="Comma 4 2 2 3 6 2 3" xfId="12627" xr:uid="{493BF177-D669-467A-AFF1-ABF58E714C79}"/>
    <cellStyle name="Comma 4 2 2 3 6 3" xfId="6258" xr:uid="{00000000-0005-0000-0000-000024080000}"/>
    <cellStyle name="Comma 4 2 2 3 6 3 2" xfId="14700" xr:uid="{8F097A48-9387-4EC6-967E-C80F2BC739D2}"/>
    <cellStyle name="Comma 4 2 2 3 6 4" xfId="10482" xr:uid="{4E20721E-1D5A-4F6D-B835-FE18227B521F}"/>
    <cellStyle name="Comma 4 2 2 3 7" xfId="2386" xr:uid="{00000000-0005-0000-0000-000025080000}"/>
    <cellStyle name="Comma 4 2 2 3 7 2" xfId="6671" xr:uid="{00000000-0005-0000-0000-000026080000}"/>
    <cellStyle name="Comma 4 2 2 3 7 2 2" xfId="15113" xr:uid="{A06B48AE-6E57-4962-BE38-79D37785FE23}"/>
    <cellStyle name="Comma 4 2 2 3 7 3" xfId="10895" xr:uid="{F6DBDF52-F1A7-4811-A5CE-6784C6594D39}"/>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CEDA06D6-6FB8-483F-B79D-5C9D0DEBF317}"/>
    <cellStyle name="Comma 4 2 2 3 9 3" xfId="11212" xr:uid="{9DE54A9F-2FD0-4D1C-9532-6CCAB99B55FD}"/>
    <cellStyle name="Comma 4 2 2 4" xfId="134" xr:uid="{00000000-0005-0000-0000-00002A080000}"/>
    <cellStyle name="Comma 4 2 2 4 10" xfId="8831" xr:uid="{F7F2362C-0FE1-411F-93B6-BA6798ED5F86}"/>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1D859FAB-9434-481F-81F6-6F79A52BBD3F}"/>
    <cellStyle name="Comma 4 2 2 4 2 2 3" xfId="11390" xr:uid="{82E8D427-9127-492C-B906-7CF11B5ED094}"/>
    <cellStyle name="Comma 4 2 2 4 2 3" xfId="5021" xr:uid="{00000000-0005-0000-0000-00002E080000}"/>
    <cellStyle name="Comma 4 2 2 4 2 3 2" xfId="13463" xr:uid="{F67E4A23-CEBB-4947-B86F-929BD6623157}"/>
    <cellStyle name="Comma 4 2 2 4 2 4" xfId="9245" xr:uid="{CB9EA49A-D13B-4117-A350-302710C6440F}"/>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C174C6EB-1C45-48F5-945D-685E6DB1912E}"/>
    <cellStyle name="Comma 4 2 2 4 3 2 3" xfId="11803" xr:uid="{8B2A5E0F-A5CB-4AD9-91E7-2C25684E1407}"/>
    <cellStyle name="Comma 4 2 2 4 3 3" xfId="5434" xr:uid="{00000000-0005-0000-0000-000032080000}"/>
    <cellStyle name="Comma 4 2 2 4 3 3 2" xfId="13876" xr:uid="{2A9FC629-9BFB-43F9-9BE0-071BF982FE40}"/>
    <cellStyle name="Comma 4 2 2 4 3 4" xfId="9658" xr:uid="{58AE3DEC-94FC-46FA-ADD5-DE71E52FA7A6}"/>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9A5FE25F-CF64-4166-8EC8-8F9C155472EB}"/>
    <cellStyle name="Comma 4 2 2 4 4 2 3" xfId="12216" xr:uid="{A57F303E-4AF0-4330-A312-E8A3B07DE45C}"/>
    <cellStyle name="Comma 4 2 2 4 4 3" xfId="5847" xr:uid="{00000000-0005-0000-0000-000036080000}"/>
    <cellStyle name="Comma 4 2 2 4 4 3 2" xfId="14289" xr:uid="{3B918F0C-FD5A-4209-A5F3-0DD6E9339994}"/>
    <cellStyle name="Comma 4 2 2 4 4 4" xfId="10071" xr:uid="{581C7ECE-4E34-44E1-8CD2-6084515EBE30}"/>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09F4D8D5-858A-4E12-BF0E-C7D220487E1A}"/>
    <cellStyle name="Comma 4 2 2 4 5 2 3" xfId="12629" xr:uid="{341F3964-B8F8-4F36-B673-72EC922EA30D}"/>
    <cellStyle name="Comma 4 2 2 4 5 3" xfId="6260" xr:uid="{00000000-0005-0000-0000-00003A080000}"/>
    <cellStyle name="Comma 4 2 2 4 5 3 2" xfId="14702" xr:uid="{DDA9A228-A139-4863-97C7-F31E271A9201}"/>
    <cellStyle name="Comma 4 2 2 4 5 4" xfId="10484" xr:uid="{B928349B-BBA4-4162-91F0-04CA71490687}"/>
    <cellStyle name="Comma 4 2 2 4 6" xfId="2388" xr:uid="{00000000-0005-0000-0000-00003B080000}"/>
    <cellStyle name="Comma 4 2 2 4 6 2" xfId="6673" xr:uid="{00000000-0005-0000-0000-00003C080000}"/>
    <cellStyle name="Comma 4 2 2 4 6 2 2" xfId="15115" xr:uid="{91F8227C-BCC1-4959-9856-020D4F11ABA3}"/>
    <cellStyle name="Comma 4 2 2 4 6 3" xfId="10897" xr:uid="{5FF582EC-E19B-4259-8695-F740E4411F8A}"/>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DE32B77F-266B-44FB-BB61-6D84573FB2E3}"/>
    <cellStyle name="Comma 4 2 2 4 8 3" xfId="11214" xr:uid="{3C164090-ACFC-4E93-87A0-78D7BB68A120}"/>
    <cellStyle name="Comma 4 2 2 4 9" xfId="4607" xr:uid="{00000000-0005-0000-0000-000040080000}"/>
    <cellStyle name="Comma 4 2 2 4 9 2" xfId="13049" xr:uid="{4CE8F5A8-E0BD-44C5-8E97-60991C12CBCB}"/>
    <cellStyle name="Comma 4 2 2 5" xfId="135" xr:uid="{00000000-0005-0000-0000-000041080000}"/>
    <cellStyle name="Comma 4 2 2 5 10" xfId="8832" xr:uid="{1934EA63-7DEF-476A-A377-E73AF26F86F3}"/>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858E0011-FE97-4B67-95C0-1A9699214DBE}"/>
    <cellStyle name="Comma 4 2 2 5 2 2 3" xfId="11391" xr:uid="{6C67196A-C9BE-4C0B-85A3-195C068D97F0}"/>
    <cellStyle name="Comma 4 2 2 5 2 3" xfId="5022" xr:uid="{00000000-0005-0000-0000-000045080000}"/>
    <cellStyle name="Comma 4 2 2 5 2 3 2" xfId="13464" xr:uid="{9D1A5529-582F-42FE-9352-0ADF4BBCA0CA}"/>
    <cellStyle name="Comma 4 2 2 5 2 4" xfId="9246" xr:uid="{64C2C31B-D9C4-47EC-AAEE-01424C3D82D5}"/>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3EC8E020-2951-4909-9703-AACC6F77A169}"/>
    <cellStyle name="Comma 4 2 2 5 3 2 3" xfId="11804" xr:uid="{10D424E4-2097-4B1E-ABDE-E6C3348A7E96}"/>
    <cellStyle name="Comma 4 2 2 5 3 3" xfId="5435" xr:uid="{00000000-0005-0000-0000-000049080000}"/>
    <cellStyle name="Comma 4 2 2 5 3 3 2" xfId="13877" xr:uid="{9DB10DB3-51AE-46E6-9611-12511A5EC820}"/>
    <cellStyle name="Comma 4 2 2 5 3 4" xfId="9659" xr:uid="{40A2D13D-718D-4E1F-AE70-8F36E95FE65F}"/>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802A05D4-BE49-420A-BBF2-CDE141F16687}"/>
    <cellStyle name="Comma 4 2 2 5 4 2 3" xfId="12217" xr:uid="{8DA60E95-7574-43BB-85BD-29A29B955B9A}"/>
    <cellStyle name="Comma 4 2 2 5 4 3" xfId="5848" xr:uid="{00000000-0005-0000-0000-00004D080000}"/>
    <cellStyle name="Comma 4 2 2 5 4 3 2" xfId="14290" xr:uid="{64F94A71-F134-49FF-8CF4-174647DEF8F9}"/>
    <cellStyle name="Comma 4 2 2 5 4 4" xfId="10072" xr:uid="{5B118211-9848-4BE5-967D-F36664F3BA11}"/>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0A6C3CF5-9CC3-4DD8-9C9B-2CFA7122EB0A}"/>
    <cellStyle name="Comma 4 2 2 5 5 2 3" xfId="12630" xr:uid="{91973721-F081-437D-A331-2CE63AF6F9DF}"/>
    <cellStyle name="Comma 4 2 2 5 5 3" xfId="6261" xr:uid="{00000000-0005-0000-0000-000051080000}"/>
    <cellStyle name="Comma 4 2 2 5 5 3 2" xfId="14703" xr:uid="{576F8433-CA25-4EA7-A169-E04A67F58223}"/>
    <cellStyle name="Comma 4 2 2 5 5 4" xfId="10485" xr:uid="{35F95645-3128-4E41-BC79-9B9589573F7E}"/>
    <cellStyle name="Comma 4 2 2 5 6" xfId="2389" xr:uid="{00000000-0005-0000-0000-000052080000}"/>
    <cellStyle name="Comma 4 2 2 5 6 2" xfId="6674" xr:uid="{00000000-0005-0000-0000-000053080000}"/>
    <cellStyle name="Comma 4 2 2 5 6 2 2" xfId="15116" xr:uid="{6933CE03-3DF4-487A-9F92-EE937326893D}"/>
    <cellStyle name="Comma 4 2 2 5 6 3" xfId="10898" xr:uid="{84FB0857-21C3-40D2-A359-B2780DAAD2BC}"/>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2CFC40F9-8225-43BD-8409-3D441A3C98A7}"/>
    <cellStyle name="Comma 4 2 2 5 8 3" xfId="11215" xr:uid="{C6010837-E6D6-496C-B683-1C46E8F8E211}"/>
    <cellStyle name="Comma 4 2 2 5 9" xfId="4608" xr:uid="{00000000-0005-0000-0000-000057080000}"/>
    <cellStyle name="Comma 4 2 2 5 9 2" xfId="13050" xr:uid="{1E610743-FD85-469F-9F77-FB762E47184A}"/>
    <cellStyle name="Comma 4 2 3" xfId="136" xr:uid="{00000000-0005-0000-0000-000058080000}"/>
    <cellStyle name="Comma 4 2 3 10" xfId="2768" xr:uid="{00000000-0005-0000-0000-000059080000}"/>
    <cellStyle name="Comma 4 2 3 10 2" xfId="6992" xr:uid="{00000000-0005-0000-0000-00005A080000}"/>
    <cellStyle name="Comma 4 2 3 10 2 2" xfId="15434" xr:uid="{CE5549DE-4883-4096-8D24-6653799C5AC3}"/>
    <cellStyle name="Comma 4 2 3 10 3" xfId="11216" xr:uid="{3A128205-BE0C-4271-8B3E-5BA9139D0353}"/>
    <cellStyle name="Comma 4 2 3 11" xfId="4609" xr:uid="{00000000-0005-0000-0000-00005B080000}"/>
    <cellStyle name="Comma 4 2 3 11 2" xfId="13051" xr:uid="{464CC76D-FAB0-4584-A5BB-14730DC839B5}"/>
    <cellStyle name="Comma 4 2 3 12" xfId="8833" xr:uid="{30A33972-BD8C-42D3-94FA-DDDA23F0DDD3}"/>
    <cellStyle name="Comma 4 2 3 2" xfId="137" xr:uid="{00000000-0005-0000-0000-00005C080000}"/>
    <cellStyle name="Comma 4 2 3 2 10" xfId="4610" xr:uid="{00000000-0005-0000-0000-00005D080000}"/>
    <cellStyle name="Comma 4 2 3 2 10 2" xfId="13052" xr:uid="{FB920970-8B22-4C15-9C6A-99F703966DEA}"/>
    <cellStyle name="Comma 4 2 3 2 11" xfId="8834" xr:uid="{1330EEA9-ECC5-4462-A2E4-1333FF0F2B2F}"/>
    <cellStyle name="Comma 4 2 3 2 2" xfId="138" xr:uid="{00000000-0005-0000-0000-00005E080000}"/>
    <cellStyle name="Comma 4 2 3 2 2 10" xfId="8835" xr:uid="{F9FEBE1A-3F25-49C1-B491-3CF43752C40D}"/>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76050800-C35F-4139-B4DC-9D74B96EE9F8}"/>
    <cellStyle name="Comma 4 2 3 2 2 2 2 3" xfId="11394" xr:uid="{EBAE5873-221C-4FA2-9615-6F4CEFF1AB59}"/>
    <cellStyle name="Comma 4 2 3 2 2 2 3" xfId="5025" xr:uid="{00000000-0005-0000-0000-000062080000}"/>
    <cellStyle name="Comma 4 2 3 2 2 2 3 2" xfId="13467" xr:uid="{FFA2D1FA-1431-42B5-B482-6DF1D8E07EB9}"/>
    <cellStyle name="Comma 4 2 3 2 2 2 4" xfId="9249" xr:uid="{3300B7C5-9967-44BA-8B5B-88673E5EA618}"/>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06869B93-7633-420B-BDAB-DB98D80B4A05}"/>
    <cellStyle name="Comma 4 2 3 2 2 3 2 3" xfId="11807" xr:uid="{6B43C996-2202-408E-8195-AD1A387075C8}"/>
    <cellStyle name="Comma 4 2 3 2 2 3 3" xfId="5438" xr:uid="{00000000-0005-0000-0000-000066080000}"/>
    <cellStyle name="Comma 4 2 3 2 2 3 3 2" xfId="13880" xr:uid="{E01C002D-ECD9-4BB5-9011-DF416FE87798}"/>
    <cellStyle name="Comma 4 2 3 2 2 3 4" xfId="9662" xr:uid="{B4CF0EC6-8485-4704-A684-8A68B16F653E}"/>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C62FB81D-0A59-4606-9691-29F2BC68395C}"/>
    <cellStyle name="Comma 4 2 3 2 2 4 2 3" xfId="12220" xr:uid="{8FEE717E-8CA3-47C8-9352-38A9032B8F1E}"/>
    <cellStyle name="Comma 4 2 3 2 2 4 3" xfId="5851" xr:uid="{00000000-0005-0000-0000-00006A080000}"/>
    <cellStyle name="Comma 4 2 3 2 2 4 3 2" xfId="14293" xr:uid="{ABE8A926-4A3D-4AEC-8080-A1B8C1EF52EE}"/>
    <cellStyle name="Comma 4 2 3 2 2 4 4" xfId="10075" xr:uid="{84B55094-32DF-49A9-AF34-86D4A52369A8}"/>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B83487AC-5794-4E42-A371-94A189769743}"/>
    <cellStyle name="Comma 4 2 3 2 2 5 2 3" xfId="12633" xr:uid="{9B9CCBAC-33F4-48F5-821A-D8728710BD10}"/>
    <cellStyle name="Comma 4 2 3 2 2 5 3" xfId="6264" xr:uid="{00000000-0005-0000-0000-00006E080000}"/>
    <cellStyle name="Comma 4 2 3 2 2 5 3 2" xfId="14706" xr:uid="{6ACE0D4F-DFC6-497D-821D-DFFDF357B2B2}"/>
    <cellStyle name="Comma 4 2 3 2 2 5 4" xfId="10488" xr:uid="{15A972A6-0A57-466F-B095-E9CC749BE802}"/>
    <cellStyle name="Comma 4 2 3 2 2 6" xfId="2392" xr:uid="{00000000-0005-0000-0000-00006F080000}"/>
    <cellStyle name="Comma 4 2 3 2 2 6 2" xfId="6677" xr:uid="{00000000-0005-0000-0000-000070080000}"/>
    <cellStyle name="Comma 4 2 3 2 2 6 2 2" xfId="15119" xr:uid="{0AA61331-855D-4DC2-9356-783E339D69E2}"/>
    <cellStyle name="Comma 4 2 3 2 2 6 3" xfId="10901" xr:uid="{319E2DBD-4015-4C24-A7A2-0E5430D533DC}"/>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067906B5-27DE-4E90-9D0C-1A2C94112F56}"/>
    <cellStyle name="Comma 4 2 3 2 2 8 3" xfId="11218" xr:uid="{F313EFDE-FDF0-46A4-8851-83C9CD469D54}"/>
    <cellStyle name="Comma 4 2 3 2 2 9" xfId="4611" xr:uid="{00000000-0005-0000-0000-000074080000}"/>
    <cellStyle name="Comma 4 2 3 2 2 9 2" xfId="13053" xr:uid="{54C1FBDA-407C-4FC3-9B13-1DF4E6CCA18B}"/>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07CD1687-3663-484B-B311-5320467E5BDD}"/>
    <cellStyle name="Comma 4 2 3 2 3 2 3" xfId="11393" xr:uid="{520636BD-508C-4D52-8A39-BD2065051AE5}"/>
    <cellStyle name="Comma 4 2 3 2 3 3" xfId="5024" xr:uid="{00000000-0005-0000-0000-000078080000}"/>
    <cellStyle name="Comma 4 2 3 2 3 3 2" xfId="13466" xr:uid="{8161044E-AB90-4B22-90D4-9B2032353FD2}"/>
    <cellStyle name="Comma 4 2 3 2 3 4" xfId="9248" xr:uid="{4630F556-CFE0-49E0-823D-E3691FE0456A}"/>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F80E4E50-6931-4B40-9E5F-341A23E32B12}"/>
    <cellStyle name="Comma 4 2 3 2 4 2 3" xfId="11806" xr:uid="{1EC0A66C-43F5-41BF-9459-485195D0B982}"/>
    <cellStyle name="Comma 4 2 3 2 4 3" xfId="5437" xr:uid="{00000000-0005-0000-0000-00007C080000}"/>
    <cellStyle name="Comma 4 2 3 2 4 3 2" xfId="13879" xr:uid="{222952E3-E693-435E-9FB8-881978B6040F}"/>
    <cellStyle name="Comma 4 2 3 2 4 4" xfId="9661" xr:uid="{D73B1BA9-1EB6-4457-A99C-931DA7CC0FB0}"/>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00A90DF2-1287-498C-90D4-368164730E58}"/>
    <cellStyle name="Comma 4 2 3 2 5 2 3" xfId="12219" xr:uid="{1A80E80C-5D09-4722-9BA8-1702C40AF63B}"/>
    <cellStyle name="Comma 4 2 3 2 5 3" xfId="5850" xr:uid="{00000000-0005-0000-0000-000080080000}"/>
    <cellStyle name="Comma 4 2 3 2 5 3 2" xfId="14292" xr:uid="{B1833257-D647-4BEC-8DC0-B70B4D6AEF6B}"/>
    <cellStyle name="Comma 4 2 3 2 5 4" xfId="10074" xr:uid="{4ED7ED95-0E2D-4E0D-853E-D5081DC23DA8}"/>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093939EA-9CE6-463F-9959-8C26BC76340B}"/>
    <cellStyle name="Comma 4 2 3 2 6 2 3" xfId="12632" xr:uid="{F73F3EB4-CCB2-469C-8F41-1A1A212E3A84}"/>
    <cellStyle name="Comma 4 2 3 2 6 3" xfId="6263" xr:uid="{00000000-0005-0000-0000-000084080000}"/>
    <cellStyle name="Comma 4 2 3 2 6 3 2" xfId="14705" xr:uid="{8553965D-F9E2-4086-997F-9C3D99BCE31C}"/>
    <cellStyle name="Comma 4 2 3 2 6 4" xfId="10487" xr:uid="{DAF21355-1DC0-4E4E-AC95-F95546952E91}"/>
    <cellStyle name="Comma 4 2 3 2 7" xfId="2391" xr:uid="{00000000-0005-0000-0000-000085080000}"/>
    <cellStyle name="Comma 4 2 3 2 7 2" xfId="6676" xr:uid="{00000000-0005-0000-0000-000086080000}"/>
    <cellStyle name="Comma 4 2 3 2 7 2 2" xfId="15118" xr:uid="{D4FCEF85-594B-49AC-95FC-DD3D0980F9AA}"/>
    <cellStyle name="Comma 4 2 3 2 7 3" xfId="10900" xr:uid="{273A83EF-B16A-4DEA-B9EF-AD8BAE856DBA}"/>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D9797173-BDEB-401B-9C49-71FD39FAA0AE}"/>
    <cellStyle name="Comma 4 2 3 2 9 3" xfId="11217" xr:uid="{76D4FDC1-9804-4280-AF08-3D974D0E2C14}"/>
    <cellStyle name="Comma 4 2 3 3" xfId="139" xr:uid="{00000000-0005-0000-0000-00008A080000}"/>
    <cellStyle name="Comma 4 2 3 3 10" xfId="8836" xr:uid="{A7C17AD0-C5A0-4B0C-84F8-0296D86569A1}"/>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FA6FA06F-36E3-438D-8735-AF136E8EEC0F}"/>
    <cellStyle name="Comma 4 2 3 3 2 2 3" xfId="11395" xr:uid="{76C50023-F283-43CB-A395-B0A9E017F710}"/>
    <cellStyle name="Comma 4 2 3 3 2 3" xfId="5026" xr:uid="{00000000-0005-0000-0000-00008E080000}"/>
    <cellStyle name="Comma 4 2 3 3 2 3 2" xfId="13468" xr:uid="{A73971B3-7848-4B9A-B324-16A26891CDFB}"/>
    <cellStyle name="Comma 4 2 3 3 2 4" xfId="9250" xr:uid="{C1AF9162-58AD-49C6-B3DE-316E621B74AF}"/>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8EB8CB4F-B126-4A2F-BF61-741EF72C3E32}"/>
    <cellStyle name="Comma 4 2 3 3 3 2 3" xfId="11808" xr:uid="{4D7DE9D3-B64B-42A1-A88D-964863263941}"/>
    <cellStyle name="Comma 4 2 3 3 3 3" xfId="5439" xr:uid="{00000000-0005-0000-0000-000092080000}"/>
    <cellStyle name="Comma 4 2 3 3 3 3 2" xfId="13881" xr:uid="{E332250B-226F-4D99-81CB-BF559E09B18C}"/>
    <cellStyle name="Comma 4 2 3 3 3 4" xfId="9663" xr:uid="{ED191B2D-1522-44C0-BE8D-B27EC52B8A63}"/>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07B17DCB-329D-4383-B102-D7A522BE0024}"/>
    <cellStyle name="Comma 4 2 3 3 4 2 3" xfId="12221" xr:uid="{688829C6-3927-4CF0-9314-D135CE89E5BB}"/>
    <cellStyle name="Comma 4 2 3 3 4 3" xfId="5852" xr:uid="{00000000-0005-0000-0000-000096080000}"/>
    <cellStyle name="Comma 4 2 3 3 4 3 2" xfId="14294" xr:uid="{10539D73-89A7-460C-B43E-543707D42C10}"/>
    <cellStyle name="Comma 4 2 3 3 4 4" xfId="10076" xr:uid="{E71E0836-91FF-4CD9-B684-CEC697279ACB}"/>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115B9A8A-DCD3-49A1-B127-5A6D51AEBE8D}"/>
    <cellStyle name="Comma 4 2 3 3 5 2 3" xfId="12634" xr:uid="{39BAFF67-2470-44FE-902F-5A89AA482B45}"/>
    <cellStyle name="Comma 4 2 3 3 5 3" xfId="6265" xr:uid="{00000000-0005-0000-0000-00009A080000}"/>
    <cellStyle name="Comma 4 2 3 3 5 3 2" xfId="14707" xr:uid="{553CE04E-179E-4D87-BBAB-1337C288633C}"/>
    <cellStyle name="Comma 4 2 3 3 5 4" xfId="10489" xr:uid="{F89E341D-F160-4469-B853-69D6D5727899}"/>
    <cellStyle name="Comma 4 2 3 3 6" xfId="2393" xr:uid="{00000000-0005-0000-0000-00009B080000}"/>
    <cellStyle name="Comma 4 2 3 3 6 2" xfId="6678" xr:uid="{00000000-0005-0000-0000-00009C080000}"/>
    <cellStyle name="Comma 4 2 3 3 6 2 2" xfId="15120" xr:uid="{74D2BC87-C062-43E8-826D-22F5E6BA6EB8}"/>
    <cellStyle name="Comma 4 2 3 3 6 3" xfId="10902" xr:uid="{CE6B6D14-E4E7-4CC1-9469-FE0488985B58}"/>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B23E5AA9-13DE-4DF3-979C-007C005C2A31}"/>
    <cellStyle name="Comma 4 2 3 3 8 3" xfId="11219" xr:uid="{BE573695-0A89-4D24-9B04-EAEDCC3602C5}"/>
    <cellStyle name="Comma 4 2 3 3 9" xfId="4612" xr:uid="{00000000-0005-0000-0000-0000A0080000}"/>
    <cellStyle name="Comma 4 2 3 3 9 2" xfId="13054" xr:uid="{B30BE85C-4E93-4A94-8699-D91968BC39A6}"/>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989B2910-FF62-4DF3-BCE3-D91CBC8D1F0B}"/>
    <cellStyle name="Comma 4 2 3 4 2 3" xfId="11392" xr:uid="{241D2CC1-ED55-4D00-B120-F6B5C0638DA4}"/>
    <cellStyle name="Comma 4 2 3 4 3" xfId="5023" xr:uid="{00000000-0005-0000-0000-0000A4080000}"/>
    <cellStyle name="Comma 4 2 3 4 3 2" xfId="13465" xr:uid="{BBA6D0EE-0B0C-4350-9D54-BA0814396FFC}"/>
    <cellStyle name="Comma 4 2 3 4 4" xfId="9247" xr:uid="{542719CD-9C5F-47C1-BCB9-19A19E1BE2B7}"/>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7474602E-160C-4244-852A-C8DA4E14886F}"/>
    <cellStyle name="Comma 4 2 3 5 2 3" xfId="11805" xr:uid="{4954F6D9-5C85-460F-8CDB-2DBD8DA18E3A}"/>
    <cellStyle name="Comma 4 2 3 5 3" xfId="5436" xr:uid="{00000000-0005-0000-0000-0000A8080000}"/>
    <cellStyle name="Comma 4 2 3 5 3 2" xfId="13878" xr:uid="{868B3B8B-04F5-44C7-A061-7E2A519F2EB1}"/>
    <cellStyle name="Comma 4 2 3 5 4" xfId="9660" xr:uid="{36796B7E-841E-4828-A295-244BA5B0E0BB}"/>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EED17A88-B82C-4843-B4F8-523AE217763D}"/>
    <cellStyle name="Comma 4 2 3 6 2 3" xfId="12218" xr:uid="{EFD30193-71DE-44B3-B2CA-D20344A9EBC7}"/>
    <cellStyle name="Comma 4 2 3 6 3" xfId="5849" xr:uid="{00000000-0005-0000-0000-0000AC080000}"/>
    <cellStyle name="Comma 4 2 3 6 3 2" xfId="14291" xr:uid="{72D39B59-6181-4B99-B015-CB2A1908E5AA}"/>
    <cellStyle name="Comma 4 2 3 6 4" xfId="10073" xr:uid="{CC251B1F-3CB8-4CE3-B08F-9EFFF89CA96A}"/>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6E890E47-D7B4-4FAD-A88F-DEEC5B3A2367}"/>
    <cellStyle name="Comma 4 2 3 7 2 3" xfId="12631" xr:uid="{AA75300A-C531-494F-8A75-62563703382A}"/>
    <cellStyle name="Comma 4 2 3 7 3" xfId="6262" xr:uid="{00000000-0005-0000-0000-0000B0080000}"/>
    <cellStyle name="Comma 4 2 3 7 3 2" xfId="14704" xr:uid="{FE99EE52-5A05-4CDA-B05E-89E474DAC1B9}"/>
    <cellStyle name="Comma 4 2 3 7 4" xfId="10486" xr:uid="{46C51E4A-7A14-4845-BE81-B6C84A969D01}"/>
    <cellStyle name="Comma 4 2 3 8" xfId="2390" xr:uid="{00000000-0005-0000-0000-0000B1080000}"/>
    <cellStyle name="Comma 4 2 3 8 2" xfId="6675" xr:uid="{00000000-0005-0000-0000-0000B2080000}"/>
    <cellStyle name="Comma 4 2 3 8 2 2" xfId="15117" xr:uid="{B7058D13-1689-48BB-94D8-05BE11D8AA68}"/>
    <cellStyle name="Comma 4 2 3 8 3" xfId="10899" xr:uid="{1F01CB41-7C7F-436E-8CAD-EA096AF5EA37}"/>
    <cellStyle name="Comma 4 2 3 9" xfId="2373" xr:uid="{00000000-0005-0000-0000-0000B3080000}"/>
    <cellStyle name="Comma 4 2 4" xfId="140" xr:uid="{00000000-0005-0000-0000-0000B4080000}"/>
    <cellStyle name="Comma 4 2 4 10" xfId="4613" xr:uid="{00000000-0005-0000-0000-0000B5080000}"/>
    <cellStyle name="Comma 4 2 4 10 2" xfId="13055" xr:uid="{6F89EA3E-75D3-4882-9A92-30275069696E}"/>
    <cellStyle name="Comma 4 2 4 11" xfId="8837" xr:uid="{0435CAD6-30F3-47A3-B731-CE21638167F0}"/>
    <cellStyle name="Comma 4 2 4 2" xfId="141" xr:uid="{00000000-0005-0000-0000-0000B6080000}"/>
    <cellStyle name="Comma 4 2 4 2 10" xfId="8838" xr:uid="{F9E23157-B687-4F1D-95CB-E3FC1CC64971}"/>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1050CD6B-95F8-4A3F-A052-4887A9B2A6C6}"/>
    <cellStyle name="Comma 4 2 4 2 2 2 3" xfId="11397" xr:uid="{4ACD50D5-70AF-4745-9699-C161CD199556}"/>
    <cellStyle name="Comma 4 2 4 2 2 3" xfId="5028" xr:uid="{00000000-0005-0000-0000-0000BA080000}"/>
    <cellStyle name="Comma 4 2 4 2 2 3 2" xfId="13470" xr:uid="{CD0B4FB4-7B0C-43EA-9676-79860840EC71}"/>
    <cellStyle name="Comma 4 2 4 2 2 4" xfId="9252" xr:uid="{D2251461-88B6-46BF-8261-F87710CA7E1A}"/>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44B72C86-5BEB-49CD-9243-14D75331DBAB}"/>
    <cellStyle name="Comma 4 2 4 2 3 2 3" xfId="11810" xr:uid="{F4B7496C-DDB3-42E8-9C5E-9B5105526B91}"/>
    <cellStyle name="Comma 4 2 4 2 3 3" xfId="5441" xr:uid="{00000000-0005-0000-0000-0000BE080000}"/>
    <cellStyle name="Comma 4 2 4 2 3 3 2" xfId="13883" xr:uid="{D6237CA9-E911-4FA3-8C37-F01545CBFF90}"/>
    <cellStyle name="Comma 4 2 4 2 3 4" xfId="9665" xr:uid="{F1158563-F746-474A-84EC-1CB4D3915CB1}"/>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3A7DEFF7-DDF8-4A4E-893C-4B16F36770AA}"/>
    <cellStyle name="Comma 4 2 4 2 4 2 3" xfId="12223" xr:uid="{675CF57B-D394-4658-803C-1274046826E6}"/>
    <cellStyle name="Comma 4 2 4 2 4 3" xfId="5854" xr:uid="{00000000-0005-0000-0000-0000C2080000}"/>
    <cellStyle name="Comma 4 2 4 2 4 3 2" xfId="14296" xr:uid="{45A4B7E8-965B-4D4E-84BB-478FFD8D747E}"/>
    <cellStyle name="Comma 4 2 4 2 4 4" xfId="10078" xr:uid="{2193C05A-B7F1-462F-B6B3-421C05362042}"/>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EE81A9DE-2ACE-407E-A234-B3C4F0129669}"/>
    <cellStyle name="Comma 4 2 4 2 5 2 3" xfId="12636" xr:uid="{273F0A38-DB5D-497B-9544-C764DE8E57F1}"/>
    <cellStyle name="Comma 4 2 4 2 5 3" xfId="6267" xr:uid="{00000000-0005-0000-0000-0000C6080000}"/>
    <cellStyle name="Comma 4 2 4 2 5 3 2" xfId="14709" xr:uid="{732401C8-B8BA-483F-8E63-B7BD555CB252}"/>
    <cellStyle name="Comma 4 2 4 2 5 4" xfId="10491" xr:uid="{F1608C0C-0FA2-44AD-9529-2CC9320C7DCA}"/>
    <cellStyle name="Comma 4 2 4 2 6" xfId="2395" xr:uid="{00000000-0005-0000-0000-0000C7080000}"/>
    <cellStyle name="Comma 4 2 4 2 6 2" xfId="6680" xr:uid="{00000000-0005-0000-0000-0000C8080000}"/>
    <cellStyle name="Comma 4 2 4 2 6 2 2" xfId="15122" xr:uid="{CB61BE62-5371-459B-ADD9-9EFFD8AA3EFA}"/>
    <cellStyle name="Comma 4 2 4 2 6 3" xfId="10904" xr:uid="{10D6A616-2A75-46C5-A833-2260B063A967}"/>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FEA4E6F8-8393-4B0F-AD5A-EF12D48013D9}"/>
    <cellStyle name="Comma 4 2 4 2 8 3" xfId="11221" xr:uid="{F14F70B2-6A7C-445B-A6B4-2892E4FF7C96}"/>
    <cellStyle name="Comma 4 2 4 2 9" xfId="4614" xr:uid="{00000000-0005-0000-0000-0000CC080000}"/>
    <cellStyle name="Comma 4 2 4 2 9 2" xfId="13056" xr:uid="{06684C10-CE03-4EAC-88F8-3D5A89E59EC6}"/>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D0F71E0B-A183-4FF7-9192-7D64BC1C0DC3}"/>
    <cellStyle name="Comma 4 2 4 3 2 3" xfId="11396" xr:uid="{2FD0F114-9FAD-47F6-81DC-41A3A6590409}"/>
    <cellStyle name="Comma 4 2 4 3 3" xfId="5027" xr:uid="{00000000-0005-0000-0000-0000D0080000}"/>
    <cellStyle name="Comma 4 2 4 3 3 2" xfId="13469" xr:uid="{652A9FF7-9A85-47A0-8FC4-CE81AF66DC93}"/>
    <cellStyle name="Comma 4 2 4 3 4" xfId="9251" xr:uid="{3CDFDF05-0ECE-41CE-9D7F-F51566B91569}"/>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6DE3CCC6-2239-4A54-9A48-77633FC02D89}"/>
    <cellStyle name="Comma 4 2 4 4 2 3" xfId="11809" xr:uid="{1D11D4B1-8E28-4794-9B84-7CEEE55EA269}"/>
    <cellStyle name="Comma 4 2 4 4 3" xfId="5440" xr:uid="{00000000-0005-0000-0000-0000D4080000}"/>
    <cellStyle name="Comma 4 2 4 4 3 2" xfId="13882" xr:uid="{3D14F1F4-18B6-4E38-A02F-37C45D9FDC69}"/>
    <cellStyle name="Comma 4 2 4 4 4" xfId="9664" xr:uid="{087AB141-F206-47E7-87F2-D89D88A23FA3}"/>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E0448038-2511-4E4F-BE03-1A61161ED0E4}"/>
    <cellStyle name="Comma 4 2 4 5 2 3" xfId="12222" xr:uid="{F4E2C70C-DB00-45B8-B7C9-754A251D90BC}"/>
    <cellStyle name="Comma 4 2 4 5 3" xfId="5853" xr:uid="{00000000-0005-0000-0000-0000D8080000}"/>
    <cellStyle name="Comma 4 2 4 5 3 2" xfId="14295" xr:uid="{73DBA48C-FA0B-4792-8DF8-3AD743FE2E7F}"/>
    <cellStyle name="Comma 4 2 4 5 4" xfId="10077" xr:uid="{3A6C9083-A14E-4062-9807-2C2A74D6DAD3}"/>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01824F4A-F317-4924-B471-5A4B8C7534BC}"/>
    <cellStyle name="Comma 4 2 4 6 2 3" xfId="12635" xr:uid="{85817EE8-C93F-4C73-93E1-8B8835E96E37}"/>
    <cellStyle name="Comma 4 2 4 6 3" xfId="6266" xr:uid="{00000000-0005-0000-0000-0000DC080000}"/>
    <cellStyle name="Comma 4 2 4 6 3 2" xfId="14708" xr:uid="{5B1731F7-96DA-4D0F-99B3-5F26936B8ED0}"/>
    <cellStyle name="Comma 4 2 4 6 4" xfId="10490" xr:uid="{0DF37C7E-34FD-422C-AE18-4610C6E43C85}"/>
    <cellStyle name="Comma 4 2 4 7" xfId="2394" xr:uid="{00000000-0005-0000-0000-0000DD080000}"/>
    <cellStyle name="Comma 4 2 4 7 2" xfId="6679" xr:uid="{00000000-0005-0000-0000-0000DE080000}"/>
    <cellStyle name="Comma 4 2 4 7 2 2" xfId="15121" xr:uid="{43D4A389-DACA-4406-819D-129DFCB550ED}"/>
    <cellStyle name="Comma 4 2 4 7 3" xfId="10903" xr:uid="{786A98BA-8C22-4D8F-B8F6-7B7D4F9B0A9F}"/>
    <cellStyle name="Comma 4 2 4 8" xfId="2369" xr:uid="{00000000-0005-0000-0000-0000DF080000}"/>
    <cellStyle name="Comma 4 2 4 9" xfId="2772" xr:uid="{00000000-0005-0000-0000-0000E0080000}"/>
    <cellStyle name="Comma 4 2 4 9 2" xfId="6996" xr:uid="{00000000-0005-0000-0000-0000E1080000}"/>
    <cellStyle name="Comma 4 2 4 9 2 2" xfId="15438" xr:uid="{690E612E-EDBE-46E6-A5E9-7B92139600E8}"/>
    <cellStyle name="Comma 4 2 4 9 3" xfId="11220" xr:uid="{6207AD08-8503-49F9-9C18-DB66198214AF}"/>
    <cellStyle name="Comma 4 2 5" xfId="142" xr:uid="{00000000-0005-0000-0000-0000E2080000}"/>
    <cellStyle name="Comma 4 2 5 10" xfId="8839" xr:uid="{925557DF-EF4D-47CC-AA56-B7AB033EED96}"/>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1DA2FAB4-B9EC-486D-B5F3-665FFD8EF3D2}"/>
    <cellStyle name="Comma 4 2 5 2 2 3" xfId="11398" xr:uid="{2A59AE5E-C8BB-4920-92D2-B620D7673066}"/>
    <cellStyle name="Comma 4 2 5 2 3" xfId="5029" xr:uid="{00000000-0005-0000-0000-0000E6080000}"/>
    <cellStyle name="Comma 4 2 5 2 3 2" xfId="13471" xr:uid="{35A53106-C004-4086-90B1-0488E4043EC5}"/>
    <cellStyle name="Comma 4 2 5 2 4" xfId="9253" xr:uid="{71CBF417-5F7F-4C80-A592-DFD7B1C600AD}"/>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E5053F70-9C01-49BA-9FB1-DC557DE34549}"/>
    <cellStyle name="Comma 4 2 5 3 2 3" xfId="11811" xr:uid="{BB30AF73-6BB4-49C2-9409-33AF69FB9BF1}"/>
    <cellStyle name="Comma 4 2 5 3 3" xfId="5442" xr:uid="{00000000-0005-0000-0000-0000EA080000}"/>
    <cellStyle name="Comma 4 2 5 3 3 2" xfId="13884" xr:uid="{F138F32C-89DD-43C1-A120-9F107139A4A4}"/>
    <cellStyle name="Comma 4 2 5 3 4" xfId="9666" xr:uid="{095657F4-D908-4CFE-B5AF-78DD9747D390}"/>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7496402B-41E6-4A54-AE36-A8810486AAE2}"/>
    <cellStyle name="Comma 4 2 5 4 2 3" xfId="12224" xr:uid="{FBA8E306-9A47-49D4-AA7F-1E404EDF7FCE}"/>
    <cellStyle name="Comma 4 2 5 4 3" xfId="5855" xr:uid="{00000000-0005-0000-0000-0000EE080000}"/>
    <cellStyle name="Comma 4 2 5 4 3 2" xfId="14297" xr:uid="{22E8F63B-20BF-4BF7-9649-00A18591F4A3}"/>
    <cellStyle name="Comma 4 2 5 4 4" xfId="10079" xr:uid="{5125E79C-76EF-412D-8160-DE95F5B000AB}"/>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71834D4B-83C8-4AE9-9CD9-0D70C0043B06}"/>
    <cellStyle name="Comma 4 2 5 5 2 3" xfId="12637" xr:uid="{FB5F1F8B-0A89-41BC-B507-758CF10BB0D8}"/>
    <cellStyle name="Comma 4 2 5 5 3" xfId="6268" xr:uid="{00000000-0005-0000-0000-0000F2080000}"/>
    <cellStyle name="Comma 4 2 5 5 3 2" xfId="14710" xr:uid="{DDB1F2C9-B426-49CE-8F71-881747D160F6}"/>
    <cellStyle name="Comma 4 2 5 5 4" xfId="10492" xr:uid="{19AAF173-84F0-433C-984C-B5370FA90545}"/>
    <cellStyle name="Comma 4 2 5 6" xfId="2396" xr:uid="{00000000-0005-0000-0000-0000F3080000}"/>
    <cellStyle name="Comma 4 2 5 6 2" xfId="6681" xr:uid="{00000000-0005-0000-0000-0000F4080000}"/>
    <cellStyle name="Comma 4 2 5 6 2 2" xfId="15123" xr:uid="{5F9E33C4-B715-4541-A9F1-2B466B04FF2C}"/>
    <cellStyle name="Comma 4 2 5 6 3" xfId="10905" xr:uid="{BB310D7D-DAC5-460E-994F-B000D50A0B7E}"/>
    <cellStyle name="Comma 4 2 5 7" xfId="2367" xr:uid="{00000000-0005-0000-0000-0000F5080000}"/>
    <cellStyle name="Comma 4 2 5 8" xfId="2774" xr:uid="{00000000-0005-0000-0000-0000F6080000}"/>
    <cellStyle name="Comma 4 2 5 8 2" xfId="6998" xr:uid="{00000000-0005-0000-0000-0000F7080000}"/>
    <cellStyle name="Comma 4 2 5 8 2 2" xfId="15440" xr:uid="{07E0AEFD-DF10-40F2-984A-CF4B0ACA29F1}"/>
    <cellStyle name="Comma 4 2 5 8 3" xfId="11222" xr:uid="{512C0FAB-565D-420C-83B1-FAEFD84E6483}"/>
    <cellStyle name="Comma 4 2 5 9" xfId="4615" xr:uid="{00000000-0005-0000-0000-0000F8080000}"/>
    <cellStyle name="Comma 4 2 5 9 2" xfId="13057" xr:uid="{B5F9E610-308C-4EA2-9050-4C284763EF74}"/>
    <cellStyle name="Comma 4 2 6" xfId="143" xr:uid="{00000000-0005-0000-0000-0000F9080000}"/>
    <cellStyle name="Comma 4 2 6 10" xfId="8840" xr:uid="{FB9C8516-E766-49AA-9239-96DA87C445B2}"/>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0FD2ED0D-FE6A-4DDB-9B6C-F577BDE85EDD}"/>
    <cellStyle name="Comma 4 2 6 2 2 3" xfId="11399" xr:uid="{B4327397-961C-460A-81F1-32DBD73C1DC7}"/>
    <cellStyle name="Comma 4 2 6 2 3" xfId="5030" xr:uid="{00000000-0005-0000-0000-0000FD080000}"/>
    <cellStyle name="Comma 4 2 6 2 3 2" xfId="13472" xr:uid="{B74E7323-0FFA-4877-903B-AA853B86E0BE}"/>
    <cellStyle name="Comma 4 2 6 2 4" xfId="9254" xr:uid="{3D85A27F-D901-4392-B77F-9072E7042400}"/>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DB1791FE-DE9A-47C7-9F0D-5012027F588C}"/>
    <cellStyle name="Comma 4 2 6 3 2 3" xfId="11812" xr:uid="{4FCD4824-476C-4368-9949-FDA4FCE7E7E6}"/>
    <cellStyle name="Comma 4 2 6 3 3" xfId="5443" xr:uid="{00000000-0005-0000-0000-000001090000}"/>
    <cellStyle name="Comma 4 2 6 3 3 2" xfId="13885" xr:uid="{9BEC7086-728B-473B-96C8-A022F238BC81}"/>
    <cellStyle name="Comma 4 2 6 3 4" xfId="9667" xr:uid="{B5151F87-F13A-4B8C-9683-AA42605B4D23}"/>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6F9643F3-EE1D-4F6D-9338-7214AA5F1B27}"/>
    <cellStyle name="Comma 4 2 6 4 2 3" xfId="12225" xr:uid="{DD2F7081-7B19-44E9-A0E6-E9AAA83342E3}"/>
    <cellStyle name="Comma 4 2 6 4 3" xfId="5856" xr:uid="{00000000-0005-0000-0000-000005090000}"/>
    <cellStyle name="Comma 4 2 6 4 3 2" xfId="14298" xr:uid="{F911CB19-CA49-403F-8476-022C91BC80D2}"/>
    <cellStyle name="Comma 4 2 6 4 4" xfId="10080" xr:uid="{82FDA2C5-8220-4332-BCE5-F0555AC13039}"/>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2F4EE243-B030-4DED-BBDE-7D1846198196}"/>
    <cellStyle name="Comma 4 2 6 5 2 3" xfId="12638" xr:uid="{1D67B79F-309F-4CB0-A3B8-1DEE24B574E3}"/>
    <cellStyle name="Comma 4 2 6 5 3" xfId="6269" xr:uid="{00000000-0005-0000-0000-000009090000}"/>
    <cellStyle name="Comma 4 2 6 5 3 2" xfId="14711" xr:uid="{2E859434-2A91-4C52-BA85-C3F80F7C1ADE}"/>
    <cellStyle name="Comma 4 2 6 5 4" xfId="10493" xr:uid="{D537A01E-9DFE-48AA-92D7-A51E7FE106A0}"/>
    <cellStyle name="Comma 4 2 6 6" xfId="2397" xr:uid="{00000000-0005-0000-0000-00000A090000}"/>
    <cellStyle name="Comma 4 2 6 6 2" xfId="6682" xr:uid="{00000000-0005-0000-0000-00000B090000}"/>
    <cellStyle name="Comma 4 2 6 6 2 2" xfId="15124" xr:uid="{36B15010-EC2C-4190-98C7-FAB507234A89}"/>
    <cellStyle name="Comma 4 2 6 6 3" xfId="10906" xr:uid="{09897304-2963-4EDC-AE21-9C37CF3350B4}"/>
    <cellStyle name="Comma 4 2 6 7" xfId="2366" xr:uid="{00000000-0005-0000-0000-00000C090000}"/>
    <cellStyle name="Comma 4 2 6 8" xfId="2775" xr:uid="{00000000-0005-0000-0000-00000D090000}"/>
    <cellStyle name="Comma 4 2 6 8 2" xfId="6999" xr:uid="{00000000-0005-0000-0000-00000E090000}"/>
    <cellStyle name="Comma 4 2 6 8 2 2" xfId="15441" xr:uid="{F8B1773E-54C2-4D9E-A643-BC1E21185C49}"/>
    <cellStyle name="Comma 4 2 6 8 3" xfId="11223" xr:uid="{CE38BDE4-77AF-44C4-84C0-B44C156EC155}"/>
    <cellStyle name="Comma 4 2 6 9" xfId="4616" xr:uid="{00000000-0005-0000-0000-00000F090000}"/>
    <cellStyle name="Comma 4 2 6 9 2" xfId="13058" xr:uid="{CFE3D1D7-1965-4547-8FCA-1960D50EA8A6}"/>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068BE98A-F5CA-4BD2-BB31-E9C9391F6486}"/>
    <cellStyle name="Comma 4 3 2 10 3" xfId="11224" xr:uid="{3CCA9E35-2C24-4A3D-8E62-77DEC35410DE}"/>
    <cellStyle name="Comma 4 3 2 11" xfId="4617" xr:uid="{00000000-0005-0000-0000-000014090000}"/>
    <cellStyle name="Comma 4 3 2 11 2" xfId="13059" xr:uid="{442546A0-C7F2-4111-959A-EB2AF21D958F}"/>
    <cellStyle name="Comma 4 3 2 12" xfId="8841" xr:uid="{39601CBE-ED00-401C-B951-A702FFE5BB85}"/>
    <cellStyle name="Comma 4 3 2 2" xfId="146" xr:uid="{00000000-0005-0000-0000-000015090000}"/>
    <cellStyle name="Comma 4 3 2 2 10" xfId="4618" xr:uid="{00000000-0005-0000-0000-000016090000}"/>
    <cellStyle name="Comma 4 3 2 2 10 2" xfId="13060" xr:uid="{3163E292-0E10-4EC8-B002-B348ED6413EA}"/>
    <cellStyle name="Comma 4 3 2 2 11" xfId="8842" xr:uid="{80377DA6-6258-4F1E-8A10-C9E4D79F933F}"/>
    <cellStyle name="Comma 4 3 2 2 2" xfId="147" xr:uid="{00000000-0005-0000-0000-000017090000}"/>
    <cellStyle name="Comma 4 3 2 2 2 10" xfId="8843" xr:uid="{56CC3416-A034-4175-B1E5-ACE5BE2EB449}"/>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FD01B3A8-CAA7-430A-9DBE-F96E3F0259F9}"/>
    <cellStyle name="Comma 4 3 2 2 2 2 2 3" xfId="11402" xr:uid="{ED211EC9-80D7-4521-ADCB-A08C021F9C99}"/>
    <cellStyle name="Comma 4 3 2 2 2 2 3" xfId="5033" xr:uid="{00000000-0005-0000-0000-00001B090000}"/>
    <cellStyle name="Comma 4 3 2 2 2 2 3 2" xfId="13475" xr:uid="{008E43C1-7C91-4351-B603-ED3D9C1C44BE}"/>
    <cellStyle name="Comma 4 3 2 2 2 2 4" xfId="9257" xr:uid="{951CCFC8-5365-4EB8-8CBE-8DB2DCE96746}"/>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3BFB87DC-DB38-45AA-96D6-3EFB837C177F}"/>
    <cellStyle name="Comma 4 3 2 2 2 3 2 3" xfId="11815" xr:uid="{626CCBA0-A2AB-4551-A2BE-96B490C0D82F}"/>
    <cellStyle name="Comma 4 3 2 2 2 3 3" xfId="5446" xr:uid="{00000000-0005-0000-0000-00001F090000}"/>
    <cellStyle name="Comma 4 3 2 2 2 3 3 2" xfId="13888" xr:uid="{71F220C0-419D-4238-98B8-C764B3B75252}"/>
    <cellStyle name="Comma 4 3 2 2 2 3 4" xfId="9670" xr:uid="{F34D142F-9F6D-4F8A-8DDF-422DE751A74F}"/>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EBB83112-77A7-484F-BC72-A1632461399B}"/>
    <cellStyle name="Comma 4 3 2 2 2 4 2 3" xfId="12228" xr:uid="{80828E28-F3EB-4EEE-84F0-08AAF5EC17AC}"/>
    <cellStyle name="Comma 4 3 2 2 2 4 3" xfId="5859" xr:uid="{00000000-0005-0000-0000-000023090000}"/>
    <cellStyle name="Comma 4 3 2 2 2 4 3 2" xfId="14301" xr:uid="{87777488-DFAE-4838-BFCA-3EC08D150873}"/>
    <cellStyle name="Comma 4 3 2 2 2 4 4" xfId="10083" xr:uid="{206FE3A9-751E-4675-97C6-6CA057D8F7F5}"/>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A396F9D4-8E3C-4F8C-AFFF-909490426C05}"/>
    <cellStyle name="Comma 4 3 2 2 2 5 2 3" xfId="12641" xr:uid="{76788B99-86B4-4046-87BF-303952A57F4C}"/>
    <cellStyle name="Comma 4 3 2 2 2 5 3" xfId="6272" xr:uid="{00000000-0005-0000-0000-000027090000}"/>
    <cellStyle name="Comma 4 3 2 2 2 5 3 2" xfId="14714" xr:uid="{65BA2BB3-31E7-4250-925E-0D8EE7624DCA}"/>
    <cellStyle name="Comma 4 3 2 2 2 5 4" xfId="10496" xr:uid="{6B50ECCA-4BF5-44EB-BCD4-9EB49B4BF672}"/>
    <cellStyle name="Comma 4 3 2 2 2 6" xfId="2400" xr:uid="{00000000-0005-0000-0000-000028090000}"/>
    <cellStyle name="Comma 4 3 2 2 2 6 2" xfId="6685" xr:uid="{00000000-0005-0000-0000-000029090000}"/>
    <cellStyle name="Comma 4 3 2 2 2 6 2 2" xfId="15127" xr:uid="{13A2C8E4-E768-42DE-AD24-0493142B6315}"/>
    <cellStyle name="Comma 4 3 2 2 2 6 3" xfId="10909" xr:uid="{54DF6F94-ADAB-46FC-A35F-FCADD8F33DEB}"/>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8DA4BEF4-F8C0-4335-9185-C20A7CEFE6CF}"/>
    <cellStyle name="Comma 4 3 2 2 2 8 3" xfId="11226" xr:uid="{87782E86-ACBB-4993-973A-9C121E08EEE4}"/>
    <cellStyle name="Comma 4 3 2 2 2 9" xfId="4619" xr:uid="{00000000-0005-0000-0000-00002D090000}"/>
    <cellStyle name="Comma 4 3 2 2 2 9 2" xfId="13061" xr:uid="{03CA6119-CE7F-4ADE-9450-18A4C7FDDED7}"/>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9944C4E3-9516-45FA-838E-D26430D63A59}"/>
    <cellStyle name="Comma 4 3 2 2 3 2 3" xfId="11401" xr:uid="{01895793-4420-43E1-B278-4C2A937FB1D0}"/>
    <cellStyle name="Comma 4 3 2 2 3 3" xfId="5032" xr:uid="{00000000-0005-0000-0000-000031090000}"/>
    <cellStyle name="Comma 4 3 2 2 3 3 2" xfId="13474" xr:uid="{3D1E4C78-9DFA-41FE-AFA3-A6BF6FD57306}"/>
    <cellStyle name="Comma 4 3 2 2 3 4" xfId="9256" xr:uid="{84935F38-C6BC-4831-A8A9-101EF8C652B7}"/>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706A8C1C-1515-47D1-8BFA-02D48CF4736B}"/>
    <cellStyle name="Comma 4 3 2 2 4 2 3" xfId="11814" xr:uid="{135FFD45-0A1B-4367-B560-661027EE44AD}"/>
    <cellStyle name="Comma 4 3 2 2 4 3" xfId="5445" xr:uid="{00000000-0005-0000-0000-000035090000}"/>
    <cellStyle name="Comma 4 3 2 2 4 3 2" xfId="13887" xr:uid="{ABCE8847-FD3C-4799-ACA0-2D8AB83EE9FC}"/>
    <cellStyle name="Comma 4 3 2 2 4 4" xfId="9669" xr:uid="{9F7795CC-DC6F-400C-B4F7-FB9200853BDC}"/>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EF04DA30-5341-465F-B6A9-936324F6BADC}"/>
    <cellStyle name="Comma 4 3 2 2 5 2 3" xfId="12227" xr:uid="{07ACA554-75E0-4620-88BF-FB7993AA093B}"/>
    <cellStyle name="Comma 4 3 2 2 5 3" xfId="5858" xr:uid="{00000000-0005-0000-0000-000039090000}"/>
    <cellStyle name="Comma 4 3 2 2 5 3 2" xfId="14300" xr:uid="{3E91210F-4AE2-49B2-9982-00FA5AFA70F5}"/>
    <cellStyle name="Comma 4 3 2 2 5 4" xfId="10082" xr:uid="{ECF8F211-BBBF-4732-B78C-2B6385CA0636}"/>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F5D60FF3-0900-4064-974B-2F2BF0D234A4}"/>
    <cellStyle name="Comma 4 3 2 2 6 2 3" xfId="12640" xr:uid="{0E339A44-C9B4-43D5-B43D-EFF49C27EC2C}"/>
    <cellStyle name="Comma 4 3 2 2 6 3" xfId="6271" xr:uid="{00000000-0005-0000-0000-00003D090000}"/>
    <cellStyle name="Comma 4 3 2 2 6 3 2" xfId="14713" xr:uid="{1D7E57F9-0BE9-404C-9FD0-A1C91B61182E}"/>
    <cellStyle name="Comma 4 3 2 2 6 4" xfId="10495" xr:uid="{796F1750-5563-459B-B679-6D3ADACBB65E}"/>
    <cellStyle name="Comma 4 3 2 2 7" xfId="2399" xr:uid="{00000000-0005-0000-0000-00003E090000}"/>
    <cellStyle name="Comma 4 3 2 2 7 2" xfId="6684" xr:uid="{00000000-0005-0000-0000-00003F090000}"/>
    <cellStyle name="Comma 4 3 2 2 7 2 2" xfId="15126" xr:uid="{346511B6-AD9F-4069-9EDA-8ACC5ECB1E78}"/>
    <cellStyle name="Comma 4 3 2 2 7 3" xfId="10908" xr:uid="{EDE61768-B7A0-437C-9987-7F404A843220}"/>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E69931D1-0D0D-4CF4-A716-9EEC26C06A97}"/>
    <cellStyle name="Comma 4 3 2 2 9 3" xfId="11225" xr:uid="{5CF08A02-8204-4DD6-B09F-26B3CB2B5E29}"/>
    <cellStyle name="Comma 4 3 2 3" xfId="148" xr:uid="{00000000-0005-0000-0000-000043090000}"/>
    <cellStyle name="Comma 4 3 2 3 10" xfId="8844" xr:uid="{80D7CE08-06D6-47D1-A2D1-D8F26E9E2285}"/>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F46E4C37-DD41-435B-A8B2-8D2BFD4C863E}"/>
    <cellStyle name="Comma 4 3 2 3 2 2 3" xfId="11403" xr:uid="{56E576C8-EDFD-4505-B747-6CE495CC311C}"/>
    <cellStyle name="Comma 4 3 2 3 2 3" xfId="5034" xr:uid="{00000000-0005-0000-0000-000047090000}"/>
    <cellStyle name="Comma 4 3 2 3 2 3 2" xfId="13476" xr:uid="{CD6C3500-3802-45BC-BA7A-16739D124981}"/>
    <cellStyle name="Comma 4 3 2 3 2 4" xfId="9258" xr:uid="{5EB80F29-AE4E-4587-8431-EDF92CB08CBD}"/>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212319B2-130C-406F-864B-29531D329D49}"/>
    <cellStyle name="Comma 4 3 2 3 3 2 3" xfId="11816" xr:uid="{0A122D23-19D1-46EA-8835-F61E6C0DA5D5}"/>
    <cellStyle name="Comma 4 3 2 3 3 3" xfId="5447" xr:uid="{00000000-0005-0000-0000-00004B090000}"/>
    <cellStyle name="Comma 4 3 2 3 3 3 2" xfId="13889" xr:uid="{98A907A0-B70D-4E11-873A-47AB8D419952}"/>
    <cellStyle name="Comma 4 3 2 3 3 4" xfId="9671" xr:uid="{0E062A6B-61DA-419F-B422-9D3A40B853F1}"/>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0E74B3B9-8C21-4D0E-AA9D-65AE6A1A1892}"/>
    <cellStyle name="Comma 4 3 2 3 4 2 3" xfId="12229" xr:uid="{8B213EAA-58E2-49DB-8568-EE20A0FF3AA0}"/>
    <cellStyle name="Comma 4 3 2 3 4 3" xfId="5860" xr:uid="{00000000-0005-0000-0000-00004F090000}"/>
    <cellStyle name="Comma 4 3 2 3 4 3 2" xfId="14302" xr:uid="{A0A8B599-3AFA-4E2E-8551-1284333303E2}"/>
    <cellStyle name="Comma 4 3 2 3 4 4" xfId="10084" xr:uid="{CC98A602-0312-4D42-B9BD-F4F7618BE6D4}"/>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840E1282-ECA3-4EA2-B3D1-FC854D97AF71}"/>
    <cellStyle name="Comma 4 3 2 3 5 2 3" xfId="12642" xr:uid="{F7940FBD-4FB0-47E8-A571-803B0D9356B3}"/>
    <cellStyle name="Comma 4 3 2 3 5 3" xfId="6273" xr:uid="{00000000-0005-0000-0000-000053090000}"/>
    <cellStyle name="Comma 4 3 2 3 5 3 2" xfId="14715" xr:uid="{64AF110D-3EA8-423D-BD2C-D11FE84ED1BD}"/>
    <cellStyle name="Comma 4 3 2 3 5 4" xfId="10497" xr:uid="{8E05F77B-7A37-4049-BA1F-9C061D5AE7AC}"/>
    <cellStyle name="Comma 4 3 2 3 6" xfId="2401" xr:uid="{00000000-0005-0000-0000-000054090000}"/>
    <cellStyle name="Comma 4 3 2 3 6 2" xfId="6686" xr:uid="{00000000-0005-0000-0000-000055090000}"/>
    <cellStyle name="Comma 4 3 2 3 6 2 2" xfId="15128" xr:uid="{73D31E14-A7CB-4D37-847D-618257EDF425}"/>
    <cellStyle name="Comma 4 3 2 3 6 3" xfId="10910" xr:uid="{182249B2-8EA1-4871-A9B3-05ECD2E353B6}"/>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567ED55D-85E9-4CB1-B5F2-5C2A6A4EE4B3}"/>
    <cellStyle name="Comma 4 3 2 3 8 3" xfId="11227" xr:uid="{7A271B88-8EBC-4E46-A8A9-97F06C2945EE}"/>
    <cellStyle name="Comma 4 3 2 3 9" xfId="4620" xr:uid="{00000000-0005-0000-0000-000059090000}"/>
    <cellStyle name="Comma 4 3 2 3 9 2" xfId="13062" xr:uid="{AF3D0FE8-1EE0-4C75-8280-E871E6A5A749}"/>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34EC0BAA-0218-4334-97EE-3C7661A56E61}"/>
    <cellStyle name="Comma 4 3 2 4 2 3" xfId="11400" xr:uid="{483D21EC-F2FE-4756-A108-F4AD997AA3AB}"/>
    <cellStyle name="Comma 4 3 2 4 3" xfId="5031" xr:uid="{00000000-0005-0000-0000-00005D090000}"/>
    <cellStyle name="Comma 4 3 2 4 3 2" xfId="13473" xr:uid="{BD932FDF-9930-477E-9DA0-03212AE677A5}"/>
    <cellStyle name="Comma 4 3 2 4 4" xfId="9255" xr:uid="{D219F709-C029-4FFD-B38F-416137199710}"/>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E545F493-B38F-44F0-8F96-8EC1094E8C20}"/>
    <cellStyle name="Comma 4 3 2 5 2 3" xfId="11813" xr:uid="{6B441BFF-A9FB-4CBC-85DF-9660B0F1A451}"/>
    <cellStyle name="Comma 4 3 2 5 3" xfId="5444" xr:uid="{00000000-0005-0000-0000-000061090000}"/>
    <cellStyle name="Comma 4 3 2 5 3 2" xfId="13886" xr:uid="{88FD3983-0A26-4BD6-BF65-0F0586185176}"/>
    <cellStyle name="Comma 4 3 2 5 4" xfId="9668" xr:uid="{C2C96D0E-2F93-4904-9C61-5EB7EC5D9A37}"/>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5EFB0396-163A-43A7-8834-CD001A113D44}"/>
    <cellStyle name="Comma 4 3 2 6 2 3" xfId="12226" xr:uid="{7D88EE80-E503-43CF-AFAD-E7ED52506749}"/>
    <cellStyle name="Comma 4 3 2 6 3" xfId="5857" xr:uid="{00000000-0005-0000-0000-000065090000}"/>
    <cellStyle name="Comma 4 3 2 6 3 2" xfId="14299" xr:uid="{52D7930B-47EA-4FBF-B522-7CC4C4D6FE8F}"/>
    <cellStyle name="Comma 4 3 2 6 4" xfId="10081" xr:uid="{6FBB92AF-7853-48E1-81D0-04BEC95D31EE}"/>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B8F6066B-D4E6-43E8-B0B3-120DBACCD007}"/>
    <cellStyle name="Comma 4 3 2 7 2 3" xfId="12639" xr:uid="{8264ED42-845D-4367-810A-3D2F20B16FCA}"/>
    <cellStyle name="Comma 4 3 2 7 3" xfId="6270" xr:uid="{00000000-0005-0000-0000-000069090000}"/>
    <cellStyle name="Comma 4 3 2 7 3 2" xfId="14712" xr:uid="{C1DE604A-F639-454D-BDD1-439F3A515BA2}"/>
    <cellStyle name="Comma 4 3 2 7 4" xfId="10494" xr:uid="{50DFF87C-9C5F-43C4-8429-802428479191}"/>
    <cellStyle name="Comma 4 3 2 8" xfId="2398" xr:uid="{00000000-0005-0000-0000-00006A090000}"/>
    <cellStyle name="Comma 4 3 2 8 2" xfId="6683" xr:uid="{00000000-0005-0000-0000-00006B090000}"/>
    <cellStyle name="Comma 4 3 2 8 2 2" xfId="15125" xr:uid="{CF20A361-E2A9-4842-877E-D9C38DA43513}"/>
    <cellStyle name="Comma 4 3 2 8 3" xfId="10907" xr:uid="{5966F6A0-8C92-4D4F-82E3-799ED1081CD9}"/>
    <cellStyle name="Comma 4 3 2 9" xfId="2365" xr:uid="{00000000-0005-0000-0000-00006C090000}"/>
    <cellStyle name="Comma 4 3 3" xfId="149" xr:uid="{00000000-0005-0000-0000-00006D090000}"/>
    <cellStyle name="Comma 4 3 3 10" xfId="4621" xr:uid="{00000000-0005-0000-0000-00006E090000}"/>
    <cellStyle name="Comma 4 3 3 10 2" xfId="13063" xr:uid="{CF456AEE-5006-49F0-A306-F9C8FB53D671}"/>
    <cellStyle name="Comma 4 3 3 11" xfId="8845" xr:uid="{910D50AB-0650-4C6D-BF64-D3AC01E6A0D0}"/>
    <cellStyle name="Comma 4 3 3 2" xfId="150" xr:uid="{00000000-0005-0000-0000-00006F090000}"/>
    <cellStyle name="Comma 4 3 3 2 10" xfId="8846" xr:uid="{D4022630-B35D-41F4-9380-654FECB804CA}"/>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686620B0-497F-42C0-8802-0D11DE1722E0}"/>
    <cellStyle name="Comma 4 3 3 2 2 2 3" xfId="11405" xr:uid="{999F411D-C7E2-46FE-9EA3-AF46B2DCA3C3}"/>
    <cellStyle name="Comma 4 3 3 2 2 3" xfId="5036" xr:uid="{00000000-0005-0000-0000-000073090000}"/>
    <cellStyle name="Comma 4 3 3 2 2 3 2" xfId="13478" xr:uid="{93F09273-7FA4-4B2E-90CA-43A2D7E0AAB1}"/>
    <cellStyle name="Comma 4 3 3 2 2 4" xfId="9260" xr:uid="{2D3BA4A2-5D16-4E06-B0EB-E1E15CE6C1DE}"/>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94250C03-BC74-48D2-A6EA-E4963B20BAF3}"/>
    <cellStyle name="Comma 4 3 3 2 3 2 3" xfId="11818" xr:uid="{69C409BD-F753-4C59-91CF-7E7793604159}"/>
    <cellStyle name="Comma 4 3 3 2 3 3" xfId="5449" xr:uid="{00000000-0005-0000-0000-000077090000}"/>
    <cellStyle name="Comma 4 3 3 2 3 3 2" xfId="13891" xr:uid="{C0655A18-9159-480B-856C-63A96C85EDFE}"/>
    <cellStyle name="Comma 4 3 3 2 3 4" xfId="9673" xr:uid="{6F15BA28-E255-424D-B0D5-4774496ED373}"/>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3DC5D7BC-F7F1-49D0-859A-A92EDC9DA104}"/>
    <cellStyle name="Comma 4 3 3 2 4 2 3" xfId="12231" xr:uid="{BBA9A834-4A5C-4577-8738-32E241276AA3}"/>
    <cellStyle name="Comma 4 3 3 2 4 3" xfId="5862" xr:uid="{00000000-0005-0000-0000-00007B090000}"/>
    <cellStyle name="Comma 4 3 3 2 4 3 2" xfId="14304" xr:uid="{B9A31328-AE06-430E-8331-5A904ABF583A}"/>
    <cellStyle name="Comma 4 3 3 2 4 4" xfId="10086" xr:uid="{658EB20F-539A-4E3F-95C3-2D498A1C5C7C}"/>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915B5D03-9E49-48E5-8B94-BF37753F4B72}"/>
    <cellStyle name="Comma 4 3 3 2 5 2 3" xfId="12644" xr:uid="{08B94A8C-8944-4810-8FBB-B4A30A8945E3}"/>
    <cellStyle name="Comma 4 3 3 2 5 3" xfId="6275" xr:uid="{00000000-0005-0000-0000-00007F090000}"/>
    <cellStyle name="Comma 4 3 3 2 5 3 2" xfId="14717" xr:uid="{686744BB-BC0E-49D9-92B0-1DC70ECFD865}"/>
    <cellStyle name="Comma 4 3 3 2 5 4" xfId="10499" xr:uid="{ADFD7653-225A-4035-8BB2-D98CD181BB7C}"/>
    <cellStyle name="Comma 4 3 3 2 6" xfId="2403" xr:uid="{00000000-0005-0000-0000-000080090000}"/>
    <cellStyle name="Comma 4 3 3 2 6 2" xfId="6688" xr:uid="{00000000-0005-0000-0000-000081090000}"/>
    <cellStyle name="Comma 4 3 3 2 6 2 2" xfId="15130" xr:uid="{4CE9E2FF-F2E6-4E54-839C-EE744963BF13}"/>
    <cellStyle name="Comma 4 3 3 2 6 3" xfId="10912" xr:uid="{FD77CA32-8797-4F92-B005-71A120A50CC4}"/>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D9F81917-60E5-4069-A22B-D4BAFD5B6609}"/>
    <cellStyle name="Comma 4 3 3 2 8 3" xfId="11229" xr:uid="{C1F9B315-705F-4E7A-AE4F-DAF630C0988E}"/>
    <cellStyle name="Comma 4 3 3 2 9" xfId="4622" xr:uid="{00000000-0005-0000-0000-000085090000}"/>
    <cellStyle name="Comma 4 3 3 2 9 2" xfId="13064" xr:uid="{C6E7A313-BF21-4BCD-919D-482FFF34FC5E}"/>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25629DB2-00FA-48A0-A28C-EEB978CE43E6}"/>
    <cellStyle name="Comma 4 3 3 3 2 3" xfId="11404" xr:uid="{5564A0B2-4D86-4410-A0ED-EC720C6D72F4}"/>
    <cellStyle name="Comma 4 3 3 3 3" xfId="5035" xr:uid="{00000000-0005-0000-0000-000089090000}"/>
    <cellStyle name="Comma 4 3 3 3 3 2" xfId="13477" xr:uid="{1F0680A2-86FE-4EE1-B8BE-C6B961FB9875}"/>
    <cellStyle name="Comma 4 3 3 3 4" xfId="9259" xr:uid="{ADC99A01-3F05-4A6B-A144-466A1EE1A253}"/>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C9552173-71C8-41C9-A9EC-0182E0D4723D}"/>
    <cellStyle name="Comma 4 3 3 4 2 3" xfId="11817" xr:uid="{2633CA82-1A4C-4AF3-AC32-2DD0A7E42F8A}"/>
    <cellStyle name="Comma 4 3 3 4 3" xfId="5448" xr:uid="{00000000-0005-0000-0000-00008D090000}"/>
    <cellStyle name="Comma 4 3 3 4 3 2" xfId="13890" xr:uid="{131C8AE4-FCF7-4126-AAA2-94B31DA14975}"/>
    <cellStyle name="Comma 4 3 3 4 4" xfId="9672" xr:uid="{D538EE62-D25C-4C62-AF84-F10F4D951958}"/>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1841B08A-6700-48FD-A4DF-F0E42AF093CB}"/>
    <cellStyle name="Comma 4 3 3 5 2 3" xfId="12230" xr:uid="{84F47328-8038-4A3E-BA3A-C40DA72D221E}"/>
    <cellStyle name="Comma 4 3 3 5 3" xfId="5861" xr:uid="{00000000-0005-0000-0000-000091090000}"/>
    <cellStyle name="Comma 4 3 3 5 3 2" xfId="14303" xr:uid="{7CC3492A-62ED-4242-8ADD-F51B35666AF0}"/>
    <cellStyle name="Comma 4 3 3 5 4" xfId="10085" xr:uid="{7B447CDB-B1E4-49F0-A55E-FA6D1C111656}"/>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2C7CE62A-5739-42E4-9F67-E5EDC68CF180}"/>
    <cellStyle name="Comma 4 3 3 6 2 3" xfId="12643" xr:uid="{73B3D1EB-D5BB-44A0-AFA6-486EB119D191}"/>
    <cellStyle name="Comma 4 3 3 6 3" xfId="6274" xr:uid="{00000000-0005-0000-0000-000095090000}"/>
    <cellStyle name="Comma 4 3 3 6 3 2" xfId="14716" xr:uid="{7AA1FF17-C5F1-4296-99B7-E19B5C1AD704}"/>
    <cellStyle name="Comma 4 3 3 6 4" xfId="10498" xr:uid="{70011F76-4000-415D-9F34-DDB149AE6CD8}"/>
    <cellStyle name="Comma 4 3 3 7" xfId="2402" xr:uid="{00000000-0005-0000-0000-000096090000}"/>
    <cellStyle name="Comma 4 3 3 7 2" xfId="6687" xr:uid="{00000000-0005-0000-0000-000097090000}"/>
    <cellStyle name="Comma 4 3 3 7 2 2" xfId="15129" xr:uid="{A6747D81-D4EB-41E6-9351-25C3691630D0}"/>
    <cellStyle name="Comma 4 3 3 7 3" xfId="10911" xr:uid="{3690690E-294F-423C-A0EC-EB37655CFD19}"/>
    <cellStyle name="Comma 4 3 3 8" xfId="2361" xr:uid="{00000000-0005-0000-0000-000098090000}"/>
    <cellStyle name="Comma 4 3 3 9" xfId="2780" xr:uid="{00000000-0005-0000-0000-000099090000}"/>
    <cellStyle name="Comma 4 3 3 9 2" xfId="7004" xr:uid="{00000000-0005-0000-0000-00009A090000}"/>
    <cellStyle name="Comma 4 3 3 9 2 2" xfId="15446" xr:uid="{F622C60B-C638-4A27-A51D-540307589A0B}"/>
    <cellStyle name="Comma 4 3 3 9 3" xfId="11228" xr:uid="{0B5D89F7-44E6-4E24-888C-AFF0E8F7D022}"/>
    <cellStyle name="Comma 4 3 4" xfId="151" xr:uid="{00000000-0005-0000-0000-00009B090000}"/>
    <cellStyle name="Comma 4 3 4 10" xfId="8847" xr:uid="{0D5C7D23-995E-4D96-80D6-3EC933BDC512}"/>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5D4819FD-ED91-419E-A7FA-9E0AA7E86933}"/>
    <cellStyle name="Comma 4 3 4 2 2 3" xfId="11406" xr:uid="{6181B410-0F7B-4C92-9984-AE79521E96CC}"/>
    <cellStyle name="Comma 4 3 4 2 3" xfId="5037" xr:uid="{00000000-0005-0000-0000-00009F090000}"/>
    <cellStyle name="Comma 4 3 4 2 3 2" xfId="13479" xr:uid="{323789F7-6F5C-463A-8576-C6B00F56F43F}"/>
    <cellStyle name="Comma 4 3 4 2 4" xfId="9261" xr:uid="{A05BB7D3-64CB-4913-B10C-BC39EBE4B9AE}"/>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A7FB887F-857D-4F1E-A2B5-A3E38CEA8BC5}"/>
    <cellStyle name="Comma 4 3 4 3 2 3" xfId="11819" xr:uid="{3F62F033-3FD2-47D2-9ED3-31100C663F58}"/>
    <cellStyle name="Comma 4 3 4 3 3" xfId="5450" xr:uid="{00000000-0005-0000-0000-0000A3090000}"/>
    <cellStyle name="Comma 4 3 4 3 3 2" xfId="13892" xr:uid="{8222ACA1-37F1-42F6-BAAE-326400AC4421}"/>
    <cellStyle name="Comma 4 3 4 3 4" xfId="9674" xr:uid="{F2371144-645E-4E2C-85F6-D77D424B6AAA}"/>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7983C5E5-46DD-4F3D-900B-D086F71D7606}"/>
    <cellStyle name="Comma 4 3 4 4 2 3" xfId="12232" xr:uid="{F15C6756-D0D8-428E-8D1D-A4E7E8FFD944}"/>
    <cellStyle name="Comma 4 3 4 4 3" xfId="5863" xr:uid="{00000000-0005-0000-0000-0000A7090000}"/>
    <cellStyle name="Comma 4 3 4 4 3 2" xfId="14305" xr:uid="{04CEDEA1-C609-434F-8984-D9604BAB5088}"/>
    <cellStyle name="Comma 4 3 4 4 4" xfId="10087" xr:uid="{45995A85-E86F-4F89-BAC4-962DE45CF4F7}"/>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94E16CD7-29B1-4818-A270-33B238D0C4EA}"/>
    <cellStyle name="Comma 4 3 4 5 2 3" xfId="12645" xr:uid="{FB40BEF2-681A-493F-A014-5ADF3FC3BFDA}"/>
    <cellStyle name="Comma 4 3 4 5 3" xfId="6276" xr:uid="{00000000-0005-0000-0000-0000AB090000}"/>
    <cellStyle name="Comma 4 3 4 5 3 2" xfId="14718" xr:uid="{A606FE2E-3AA6-43C8-9A6F-D1A14DCFE0DC}"/>
    <cellStyle name="Comma 4 3 4 5 4" xfId="10500" xr:uid="{97E2D035-316F-4A67-999F-D7A8C8F4BB94}"/>
    <cellStyle name="Comma 4 3 4 6" xfId="2404" xr:uid="{00000000-0005-0000-0000-0000AC090000}"/>
    <cellStyle name="Comma 4 3 4 6 2" xfId="6689" xr:uid="{00000000-0005-0000-0000-0000AD090000}"/>
    <cellStyle name="Comma 4 3 4 6 2 2" xfId="15131" xr:uid="{F63F0740-95D5-4C50-9EC8-649323335F1A}"/>
    <cellStyle name="Comma 4 3 4 6 3" xfId="10913" xr:uid="{15604CB5-9D2B-4966-8D26-DB2630F61F51}"/>
    <cellStyle name="Comma 4 3 4 7" xfId="2700" xr:uid="{00000000-0005-0000-0000-0000AE090000}"/>
    <cellStyle name="Comma 4 3 4 8" xfId="2782" xr:uid="{00000000-0005-0000-0000-0000AF090000}"/>
    <cellStyle name="Comma 4 3 4 8 2" xfId="7006" xr:uid="{00000000-0005-0000-0000-0000B0090000}"/>
    <cellStyle name="Comma 4 3 4 8 2 2" xfId="15448" xr:uid="{794F0DF2-3A60-4B62-AD69-A7DFCCA8FBBB}"/>
    <cellStyle name="Comma 4 3 4 8 3" xfId="11230" xr:uid="{B4582B70-54AA-4056-B476-DAAF40A28CC7}"/>
    <cellStyle name="Comma 4 3 4 9" xfId="4623" xr:uid="{00000000-0005-0000-0000-0000B1090000}"/>
    <cellStyle name="Comma 4 3 4 9 2" xfId="13065" xr:uid="{4F9FA092-215D-4CA6-9AF5-C81D216ACD22}"/>
    <cellStyle name="Comma 4 3 5" xfId="152" xr:uid="{00000000-0005-0000-0000-0000B2090000}"/>
    <cellStyle name="Comma 4 3 5 10" xfId="8848" xr:uid="{3BFB35CD-5EF6-4401-96FB-02EC81A9E9DB}"/>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242AAEC7-F79A-4B96-AF5E-5BA0DCEB652C}"/>
    <cellStyle name="Comma 4 3 5 2 2 3" xfId="11407" xr:uid="{FC3C1C6A-6E7D-42C8-A24D-3D0CFAE97541}"/>
    <cellStyle name="Comma 4 3 5 2 3" xfId="5038" xr:uid="{00000000-0005-0000-0000-0000B6090000}"/>
    <cellStyle name="Comma 4 3 5 2 3 2" xfId="13480" xr:uid="{D659678A-45E1-4C06-9512-51349B28F655}"/>
    <cellStyle name="Comma 4 3 5 2 4" xfId="9262" xr:uid="{86F69E02-1C31-4EC8-B9E7-74422083D3E7}"/>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EFDAFECD-1AF2-4280-A959-9368EF6E6936}"/>
    <cellStyle name="Comma 4 3 5 3 2 3" xfId="11820" xr:uid="{466C428B-54C0-44E5-8428-71E5057AD9A2}"/>
    <cellStyle name="Comma 4 3 5 3 3" xfId="5451" xr:uid="{00000000-0005-0000-0000-0000BA090000}"/>
    <cellStyle name="Comma 4 3 5 3 3 2" xfId="13893" xr:uid="{8F20B93E-5832-4200-A0E9-C2F3BC6B773A}"/>
    <cellStyle name="Comma 4 3 5 3 4" xfId="9675" xr:uid="{37A07019-07D9-4917-B059-24CC8F6A0233}"/>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C40BD2D9-806A-4BAA-9E41-6D08997A8057}"/>
    <cellStyle name="Comma 4 3 5 4 2 3" xfId="12233" xr:uid="{ADAA2629-7C18-4F5F-A070-3A7FB767F902}"/>
    <cellStyle name="Comma 4 3 5 4 3" xfId="5864" xr:uid="{00000000-0005-0000-0000-0000BE090000}"/>
    <cellStyle name="Comma 4 3 5 4 3 2" xfId="14306" xr:uid="{8C70E42B-59CF-454E-BFAB-D717832A0059}"/>
    <cellStyle name="Comma 4 3 5 4 4" xfId="10088" xr:uid="{35BFFC15-0D68-47A0-B30F-613D259554D6}"/>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813465FC-0417-436D-AAA0-AA9A135A19F9}"/>
    <cellStyle name="Comma 4 3 5 5 2 3" xfId="12646" xr:uid="{8C50D6DE-A9A8-4523-9672-A6B116A8D469}"/>
    <cellStyle name="Comma 4 3 5 5 3" xfId="6277" xr:uid="{00000000-0005-0000-0000-0000C2090000}"/>
    <cellStyle name="Comma 4 3 5 5 3 2" xfId="14719" xr:uid="{A0211709-D17D-4F37-9752-8D45D368368C}"/>
    <cellStyle name="Comma 4 3 5 5 4" xfId="10501" xr:uid="{46FCA8CB-8B16-466F-B460-0468F30CA02D}"/>
    <cellStyle name="Comma 4 3 5 6" xfId="2405" xr:uid="{00000000-0005-0000-0000-0000C3090000}"/>
    <cellStyle name="Comma 4 3 5 6 2" xfId="6690" xr:uid="{00000000-0005-0000-0000-0000C4090000}"/>
    <cellStyle name="Comma 4 3 5 6 2 2" xfId="15132" xr:uid="{C1911DE6-222B-457D-9621-1D0B5D1CF268}"/>
    <cellStyle name="Comma 4 3 5 6 3" xfId="10914" xr:uid="{A5899832-8451-45CA-AFE7-2B12E8E3ACE2}"/>
    <cellStyle name="Comma 4 3 5 7" xfId="2701" xr:uid="{00000000-0005-0000-0000-0000C5090000}"/>
    <cellStyle name="Comma 4 3 5 8" xfId="2783" xr:uid="{00000000-0005-0000-0000-0000C6090000}"/>
    <cellStyle name="Comma 4 3 5 8 2" xfId="7007" xr:uid="{00000000-0005-0000-0000-0000C7090000}"/>
    <cellStyle name="Comma 4 3 5 8 2 2" xfId="15449" xr:uid="{51C05BCD-A491-4BF0-9ADA-F3C11A869465}"/>
    <cellStyle name="Comma 4 3 5 8 3" xfId="11231" xr:uid="{E082D8EF-C640-4A45-B849-3BF5CB77DCCF}"/>
    <cellStyle name="Comma 4 3 5 9" xfId="4624" xr:uid="{00000000-0005-0000-0000-0000C8090000}"/>
    <cellStyle name="Comma 4 3 5 9 2" xfId="13066" xr:uid="{909CC426-AA2F-44E3-AE56-10E224577B1F}"/>
    <cellStyle name="Comma 4 4" xfId="153" xr:uid="{00000000-0005-0000-0000-0000C9090000}"/>
    <cellStyle name="Comma 4 4 10" xfId="2784" xr:uid="{00000000-0005-0000-0000-0000CA090000}"/>
    <cellStyle name="Comma 4 4 10 2" xfId="7008" xr:uid="{00000000-0005-0000-0000-0000CB090000}"/>
    <cellStyle name="Comma 4 4 10 2 2" xfId="15450" xr:uid="{44DF6E94-1A41-4096-94DE-7853C1674B93}"/>
    <cellStyle name="Comma 4 4 10 3" xfId="11232" xr:uid="{91B8AC75-9B48-43F2-8CFB-76F3CDB5EFD1}"/>
    <cellStyle name="Comma 4 4 11" xfId="4625" xr:uid="{00000000-0005-0000-0000-0000CC090000}"/>
    <cellStyle name="Comma 4 4 11 2" xfId="13067" xr:uid="{E123BD27-587D-4688-A39E-DB02F685ADEA}"/>
    <cellStyle name="Comma 4 4 12" xfId="8849" xr:uid="{C04B85CE-6456-4373-B7AB-BA15B0C3C2D1}"/>
    <cellStyle name="Comma 4 4 2" xfId="154" xr:uid="{00000000-0005-0000-0000-0000CD090000}"/>
    <cellStyle name="Comma 4 4 2 10" xfId="4626" xr:uid="{00000000-0005-0000-0000-0000CE090000}"/>
    <cellStyle name="Comma 4 4 2 10 2" xfId="13068" xr:uid="{3D4265D9-DB32-4B4C-BFEF-F0B80836FE8F}"/>
    <cellStyle name="Comma 4 4 2 11" xfId="8850" xr:uid="{B47228FD-B21B-4DB1-9022-B0439F949265}"/>
    <cellStyle name="Comma 4 4 2 2" xfId="155" xr:uid="{00000000-0005-0000-0000-0000CF090000}"/>
    <cellStyle name="Comma 4 4 2 2 10" xfId="8851" xr:uid="{19997DBF-0F92-43B3-96FC-1C32BEE8F44D}"/>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2CE0EF5B-B9B7-4935-9827-4004D346F82B}"/>
    <cellStyle name="Comma 4 4 2 2 2 2 3" xfId="11410" xr:uid="{F2A9E79C-07AB-4D40-B78C-D860453EA452}"/>
    <cellStyle name="Comma 4 4 2 2 2 3" xfId="5041" xr:uid="{00000000-0005-0000-0000-0000D3090000}"/>
    <cellStyle name="Comma 4 4 2 2 2 3 2" xfId="13483" xr:uid="{A1B19C33-950E-4AAE-B517-46E7CB5DE062}"/>
    <cellStyle name="Comma 4 4 2 2 2 4" xfId="9265" xr:uid="{21052462-CFFE-4681-85A2-9C4549A5B3DB}"/>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FA7B6D23-A0E7-4E7E-8698-2E4DDC98C059}"/>
    <cellStyle name="Comma 4 4 2 2 3 2 3" xfId="11823" xr:uid="{78FB3DD6-4AB7-4432-9179-7B001C701006}"/>
    <cellStyle name="Comma 4 4 2 2 3 3" xfId="5454" xr:uid="{00000000-0005-0000-0000-0000D7090000}"/>
    <cellStyle name="Comma 4 4 2 2 3 3 2" xfId="13896" xr:uid="{F8396C20-CC45-4E06-B2EC-1AF657ECD221}"/>
    <cellStyle name="Comma 4 4 2 2 3 4" xfId="9678" xr:uid="{121F610F-687C-4441-ABD5-F73E4884D2C8}"/>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D81537D1-692C-49DD-919D-5877D47D30C1}"/>
    <cellStyle name="Comma 4 4 2 2 4 2 3" xfId="12236" xr:uid="{0C1B454D-4012-4609-9396-F53B2E1FFF4D}"/>
    <cellStyle name="Comma 4 4 2 2 4 3" xfId="5867" xr:uid="{00000000-0005-0000-0000-0000DB090000}"/>
    <cellStyle name="Comma 4 4 2 2 4 3 2" xfId="14309" xr:uid="{D6E3BA14-D432-4F92-A329-1E19298C2862}"/>
    <cellStyle name="Comma 4 4 2 2 4 4" xfId="10091" xr:uid="{55CFEAE5-14AF-4F9E-9E29-F33AD29636BB}"/>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436A00D4-A9B4-46CB-81FA-B90D28CE4FE6}"/>
    <cellStyle name="Comma 4 4 2 2 5 2 3" xfId="12649" xr:uid="{56199F74-EA52-4E66-A6F4-1343BCDE1E57}"/>
    <cellStyle name="Comma 4 4 2 2 5 3" xfId="6280" xr:uid="{00000000-0005-0000-0000-0000DF090000}"/>
    <cellStyle name="Comma 4 4 2 2 5 3 2" xfId="14722" xr:uid="{6ACAE622-E83D-4E85-8C77-B3E3D5E73D89}"/>
    <cellStyle name="Comma 4 4 2 2 5 4" xfId="10504" xr:uid="{E25D69E4-8DF9-404E-B346-A6643015F5D7}"/>
    <cellStyle name="Comma 4 4 2 2 6" xfId="2408" xr:uid="{00000000-0005-0000-0000-0000E0090000}"/>
    <cellStyle name="Comma 4 4 2 2 6 2" xfId="6693" xr:uid="{00000000-0005-0000-0000-0000E1090000}"/>
    <cellStyle name="Comma 4 4 2 2 6 2 2" xfId="15135" xr:uid="{4DC6EEAF-558F-4980-8234-44E8DF9A0E1C}"/>
    <cellStyle name="Comma 4 4 2 2 6 3" xfId="10917" xr:uid="{43288129-8F1B-417F-AF9D-727864E093D9}"/>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540AD280-87EA-42CD-8562-197789DFA1F4}"/>
    <cellStyle name="Comma 4 4 2 2 8 3" xfId="11234" xr:uid="{F83DE882-BEDF-4496-AE47-EA139D5D215C}"/>
    <cellStyle name="Comma 4 4 2 2 9" xfId="4627" xr:uid="{00000000-0005-0000-0000-0000E5090000}"/>
    <cellStyle name="Comma 4 4 2 2 9 2" xfId="13069" xr:uid="{A25104F1-6ED8-4937-8867-C51925A9CC49}"/>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63642B3D-75DA-4547-B733-405D698DC3B5}"/>
    <cellStyle name="Comma 4 4 2 3 2 3" xfId="11409" xr:uid="{87283580-2D29-47F5-B938-E81CB28D09B0}"/>
    <cellStyle name="Comma 4 4 2 3 3" xfId="5040" xr:uid="{00000000-0005-0000-0000-0000E9090000}"/>
    <cellStyle name="Comma 4 4 2 3 3 2" xfId="13482" xr:uid="{EC16F8F9-6410-480F-A43F-CA8998F1ABD5}"/>
    <cellStyle name="Comma 4 4 2 3 4" xfId="9264" xr:uid="{814BA66A-4FFB-4296-9983-D1E537F51497}"/>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A6530385-2155-4B04-BCEA-DD68B01F6764}"/>
    <cellStyle name="Comma 4 4 2 4 2 3" xfId="11822" xr:uid="{D3395717-FF77-49DC-A4AB-C97BFBAB90F0}"/>
    <cellStyle name="Comma 4 4 2 4 3" xfId="5453" xr:uid="{00000000-0005-0000-0000-0000ED090000}"/>
    <cellStyle name="Comma 4 4 2 4 3 2" xfId="13895" xr:uid="{FB7E7F23-0C18-44B6-B9D6-066161E33EC9}"/>
    <cellStyle name="Comma 4 4 2 4 4" xfId="9677" xr:uid="{0A7037F8-8B4A-4463-B12E-7317ABA333DB}"/>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E08FBD85-9E8E-44FE-B1FE-19F052AC80CB}"/>
    <cellStyle name="Comma 4 4 2 5 2 3" xfId="12235" xr:uid="{FD7BA476-D876-4D9D-9631-AE3CED25D273}"/>
    <cellStyle name="Comma 4 4 2 5 3" xfId="5866" xr:uid="{00000000-0005-0000-0000-0000F1090000}"/>
    <cellStyle name="Comma 4 4 2 5 3 2" xfId="14308" xr:uid="{73F3CCDB-89D9-4CB5-A085-15C22060CB6E}"/>
    <cellStyle name="Comma 4 4 2 5 4" xfId="10090" xr:uid="{028C86A5-C182-4BC9-B83E-48C7565C2991}"/>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70586BB4-53D6-4189-942E-1DEB9624CB78}"/>
    <cellStyle name="Comma 4 4 2 6 2 3" xfId="12648" xr:uid="{8A87A1EA-1F94-438D-B944-9F495C2D2572}"/>
    <cellStyle name="Comma 4 4 2 6 3" xfId="6279" xr:uid="{00000000-0005-0000-0000-0000F5090000}"/>
    <cellStyle name="Comma 4 4 2 6 3 2" xfId="14721" xr:uid="{FF516DC5-4AEA-4D17-B659-2F335758FEF3}"/>
    <cellStyle name="Comma 4 4 2 6 4" xfId="10503" xr:uid="{D5E4D9A9-0AB4-4DA2-9C7E-634CA698FE39}"/>
    <cellStyle name="Comma 4 4 2 7" xfId="2407" xr:uid="{00000000-0005-0000-0000-0000F6090000}"/>
    <cellStyle name="Comma 4 4 2 7 2" xfId="6692" xr:uid="{00000000-0005-0000-0000-0000F7090000}"/>
    <cellStyle name="Comma 4 4 2 7 2 2" xfId="15134" xr:uid="{0DBC032C-5D10-4E80-AC86-F515075D26A9}"/>
    <cellStyle name="Comma 4 4 2 7 3" xfId="10916" xr:uid="{29604BB2-1A92-49D4-9A67-004832048284}"/>
    <cellStyle name="Comma 4 4 2 8" xfId="2703" xr:uid="{00000000-0005-0000-0000-0000F8090000}"/>
    <cellStyle name="Comma 4 4 2 9" xfId="2785" xr:uid="{00000000-0005-0000-0000-0000F9090000}"/>
    <cellStyle name="Comma 4 4 2 9 2" xfId="7009" xr:uid="{00000000-0005-0000-0000-0000FA090000}"/>
    <cellStyle name="Comma 4 4 2 9 2 2" xfId="15451" xr:uid="{87EF2638-CFB0-4AE9-8C42-A75948ADFC0D}"/>
    <cellStyle name="Comma 4 4 2 9 3" xfId="11233" xr:uid="{E65A888A-0C96-43CF-BC7D-5F466AB88338}"/>
    <cellStyle name="Comma 4 4 3" xfId="156" xr:uid="{00000000-0005-0000-0000-0000FB090000}"/>
    <cellStyle name="Comma 4 4 3 10" xfId="8852" xr:uid="{C3759674-5DA1-49F4-8883-7A59D8F7B09B}"/>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40A67D3B-9453-458B-B9A9-F37EAD602616}"/>
    <cellStyle name="Comma 4 4 3 2 2 3" xfId="11411" xr:uid="{82F74E0A-B207-4158-96C7-9DD45F78289D}"/>
    <cellStyle name="Comma 4 4 3 2 3" xfId="5042" xr:uid="{00000000-0005-0000-0000-0000FF090000}"/>
    <cellStyle name="Comma 4 4 3 2 3 2" xfId="13484" xr:uid="{94E57662-D8DA-4D2C-924E-0AF7A1CFAF08}"/>
    <cellStyle name="Comma 4 4 3 2 4" xfId="9266" xr:uid="{9AEFFD94-6B23-493C-B91E-B22313FC7FB6}"/>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35B3F6E9-4124-46E8-BFA1-5E918985384C}"/>
    <cellStyle name="Comma 4 4 3 3 2 3" xfId="11824" xr:uid="{DD458753-388B-4FB5-A78E-61B25A3FFD5D}"/>
    <cellStyle name="Comma 4 4 3 3 3" xfId="5455" xr:uid="{00000000-0005-0000-0000-0000030A0000}"/>
    <cellStyle name="Comma 4 4 3 3 3 2" xfId="13897" xr:uid="{4053826C-EB3C-4E2B-B745-205AB733AB5F}"/>
    <cellStyle name="Comma 4 4 3 3 4" xfId="9679" xr:uid="{3E0BDDA3-E92A-496A-9013-9128E1312960}"/>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4C68A003-C6AB-49D5-AC7D-4A8EF23694BB}"/>
    <cellStyle name="Comma 4 4 3 4 2 3" xfId="12237" xr:uid="{213E5952-9888-4580-A6C8-6D1BD4F29290}"/>
    <cellStyle name="Comma 4 4 3 4 3" xfId="5868" xr:uid="{00000000-0005-0000-0000-0000070A0000}"/>
    <cellStyle name="Comma 4 4 3 4 3 2" xfId="14310" xr:uid="{D581120A-B571-4B23-BCE4-D1BA55341EB4}"/>
    <cellStyle name="Comma 4 4 3 4 4" xfId="10092" xr:uid="{ED9AE40D-14B1-4335-98CE-EDF6B1F6EEE1}"/>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AF2C2E6C-B749-48B1-9912-2966268085A1}"/>
    <cellStyle name="Comma 4 4 3 5 2 3" xfId="12650" xr:uid="{E8818C2B-BCDC-4C5D-92FE-2EEEF463EC67}"/>
    <cellStyle name="Comma 4 4 3 5 3" xfId="6281" xr:uid="{00000000-0005-0000-0000-00000B0A0000}"/>
    <cellStyle name="Comma 4 4 3 5 3 2" xfId="14723" xr:uid="{E264FC0C-9392-4322-B091-5B20CAF1DFC0}"/>
    <cellStyle name="Comma 4 4 3 5 4" xfId="10505" xr:uid="{56315B82-5868-4581-BA10-F4F7A123ECE5}"/>
    <cellStyle name="Comma 4 4 3 6" xfId="2409" xr:uid="{00000000-0005-0000-0000-00000C0A0000}"/>
    <cellStyle name="Comma 4 4 3 6 2" xfId="6694" xr:uid="{00000000-0005-0000-0000-00000D0A0000}"/>
    <cellStyle name="Comma 4 4 3 6 2 2" xfId="15136" xr:uid="{36BA9647-6B4F-43DB-8186-91A4E9C9BB1E}"/>
    <cellStyle name="Comma 4 4 3 6 3" xfId="10918" xr:uid="{B674EB22-EBE4-4CE4-B1B7-57CFAEC1E476}"/>
    <cellStyle name="Comma 4 4 3 7" xfId="2705" xr:uid="{00000000-0005-0000-0000-00000E0A0000}"/>
    <cellStyle name="Comma 4 4 3 8" xfId="2787" xr:uid="{00000000-0005-0000-0000-00000F0A0000}"/>
    <cellStyle name="Comma 4 4 3 8 2" xfId="7011" xr:uid="{00000000-0005-0000-0000-0000100A0000}"/>
    <cellStyle name="Comma 4 4 3 8 2 2" xfId="15453" xr:uid="{991CA26F-3464-4567-966E-327B257C759A}"/>
    <cellStyle name="Comma 4 4 3 8 3" xfId="11235" xr:uid="{ACECC7D9-CC38-4C4D-8506-12A74247859C}"/>
    <cellStyle name="Comma 4 4 3 9" xfId="4628" xr:uid="{00000000-0005-0000-0000-0000110A0000}"/>
    <cellStyle name="Comma 4 4 3 9 2" xfId="13070" xr:uid="{0A101EB1-3C1D-402C-82FB-3B3038A3127E}"/>
    <cellStyle name="Comma 4 4 4" xfId="690" xr:uid="{00000000-0005-0000-0000-0000120A0000}"/>
    <cellStyle name="Comma 4 4 4 2" xfId="2961" xr:uid="{00000000-0005-0000-0000-0000130A0000}"/>
    <cellStyle name="Comma 4 4 4 2 2" xfId="7184" xr:uid="{00000000-0005-0000-0000-0000140A0000}"/>
    <cellStyle name="Comma 4 4 4 2 2 2" xfId="15626" xr:uid="{91E9BDFC-786A-4637-9BF5-864ADBA33BC2}"/>
    <cellStyle name="Comma 4 4 4 2 3" xfId="11408" xr:uid="{B38D1E96-C29B-47F5-8934-A21F2180C653}"/>
    <cellStyle name="Comma 4 4 4 3" xfId="5039" xr:uid="{00000000-0005-0000-0000-0000150A0000}"/>
    <cellStyle name="Comma 4 4 4 3 2" xfId="13481" xr:uid="{07F5952E-A19F-498B-9F15-9F2C086C0D1E}"/>
    <cellStyle name="Comma 4 4 4 4" xfId="9263" xr:uid="{BF708D94-B986-4F2B-98D7-FB3FF06CA6B2}"/>
    <cellStyle name="Comma 4 4 5" xfId="1143" xr:uid="{00000000-0005-0000-0000-0000160A0000}"/>
    <cellStyle name="Comma 4 4 5 2" xfId="3374" xr:uid="{00000000-0005-0000-0000-0000170A0000}"/>
    <cellStyle name="Comma 4 4 5 2 2" xfId="7597" xr:uid="{00000000-0005-0000-0000-0000180A0000}"/>
    <cellStyle name="Comma 4 4 5 2 2 2" xfId="16039" xr:uid="{69C280AA-C9EF-4121-808E-683E107B6C06}"/>
    <cellStyle name="Comma 4 4 5 2 3" xfId="11821" xr:uid="{5F323709-B584-45AE-BDC4-9E30456BF55F}"/>
    <cellStyle name="Comma 4 4 5 3" xfId="5452" xr:uid="{00000000-0005-0000-0000-0000190A0000}"/>
    <cellStyle name="Comma 4 4 5 3 2" xfId="13894" xr:uid="{54166649-9DB2-44DA-9C5C-43C80BE26E43}"/>
    <cellStyle name="Comma 4 4 5 4" xfId="9676" xr:uid="{3DD52291-FAEF-4A31-89FA-50477A22E8C9}"/>
    <cellStyle name="Comma 4 4 6" xfId="1557" xr:uid="{00000000-0005-0000-0000-00001A0A0000}"/>
    <cellStyle name="Comma 4 4 6 2" xfId="3787" xr:uid="{00000000-0005-0000-0000-00001B0A0000}"/>
    <cellStyle name="Comma 4 4 6 2 2" xfId="8010" xr:uid="{00000000-0005-0000-0000-00001C0A0000}"/>
    <cellStyle name="Comma 4 4 6 2 2 2" xfId="16452" xr:uid="{5D267EC2-505D-46A2-9AB0-B7F6CCF88D97}"/>
    <cellStyle name="Comma 4 4 6 2 3" xfId="12234" xr:uid="{28754540-0B39-4680-B892-7459554A3F6F}"/>
    <cellStyle name="Comma 4 4 6 3" xfId="5865" xr:uid="{00000000-0005-0000-0000-00001D0A0000}"/>
    <cellStyle name="Comma 4 4 6 3 2" xfId="14307" xr:uid="{FB4BB092-38EB-4CFC-AB07-F4B4C993118E}"/>
    <cellStyle name="Comma 4 4 6 4" xfId="10089" xr:uid="{D4D9C9F2-C305-42A0-8C93-03B570DD2596}"/>
    <cellStyle name="Comma 4 4 7" xfId="1971" xr:uid="{00000000-0005-0000-0000-00001E0A0000}"/>
    <cellStyle name="Comma 4 4 7 2" xfId="4200" xr:uid="{00000000-0005-0000-0000-00001F0A0000}"/>
    <cellStyle name="Comma 4 4 7 2 2" xfId="8423" xr:uid="{00000000-0005-0000-0000-0000200A0000}"/>
    <cellStyle name="Comma 4 4 7 2 2 2" xfId="16865" xr:uid="{5EE6B6B4-91C7-41EE-9143-34D7EB7B4E69}"/>
    <cellStyle name="Comma 4 4 7 2 3" xfId="12647" xr:uid="{5CDA13D2-F5C1-490C-9C69-872D464AA2AB}"/>
    <cellStyle name="Comma 4 4 7 3" xfId="6278" xr:uid="{00000000-0005-0000-0000-0000210A0000}"/>
    <cellStyle name="Comma 4 4 7 3 2" xfId="14720" xr:uid="{7B9A5575-4ECD-4862-A65B-1A6C345E1B40}"/>
    <cellStyle name="Comma 4 4 7 4" xfId="10502" xr:uid="{B1689C9B-6038-436A-921C-14BDC81476BE}"/>
    <cellStyle name="Comma 4 4 8" xfId="2406" xr:uid="{00000000-0005-0000-0000-0000220A0000}"/>
    <cellStyle name="Comma 4 4 8 2" xfId="6691" xr:uid="{00000000-0005-0000-0000-0000230A0000}"/>
    <cellStyle name="Comma 4 4 8 2 2" xfId="15133" xr:uid="{334C602B-7B2D-416B-BEDF-337D82BDA068}"/>
    <cellStyle name="Comma 4 4 8 3" xfId="10915" xr:uid="{99042349-FD63-44D1-8BF5-9DFD7338B80A}"/>
    <cellStyle name="Comma 4 4 9" xfId="2702" xr:uid="{00000000-0005-0000-0000-0000240A0000}"/>
    <cellStyle name="Comma 4 5" xfId="157" xr:uid="{00000000-0005-0000-0000-0000250A0000}"/>
    <cellStyle name="Comma 4 5 10" xfId="4629" xr:uid="{00000000-0005-0000-0000-0000260A0000}"/>
    <cellStyle name="Comma 4 5 10 2" xfId="13071" xr:uid="{79884A3B-1505-49D3-8B3B-923E470B98C3}"/>
    <cellStyle name="Comma 4 5 11" xfId="8853" xr:uid="{4925D52C-CAAD-4A22-AFB6-B9E0E126196B}"/>
    <cellStyle name="Comma 4 5 2" xfId="158" xr:uid="{00000000-0005-0000-0000-0000270A0000}"/>
    <cellStyle name="Comma 4 5 2 10" xfId="8854" xr:uid="{EA583A69-27EA-4AEF-9E40-D7E4294B1C1C}"/>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A11B73C4-4CF1-41FE-A2D8-9A7DB6785DA9}"/>
    <cellStyle name="Comma 4 5 2 2 2 3" xfId="11413" xr:uid="{80E063E3-5BF8-4777-8A0D-2D988CF49AE1}"/>
    <cellStyle name="Comma 4 5 2 2 3" xfId="5044" xr:uid="{00000000-0005-0000-0000-00002B0A0000}"/>
    <cellStyle name="Comma 4 5 2 2 3 2" xfId="13486" xr:uid="{A6AB545F-BA16-4C3F-8833-C68F660EE544}"/>
    <cellStyle name="Comma 4 5 2 2 4" xfId="9268" xr:uid="{85F59D7A-0F98-41F2-9652-F6551F8E8AFE}"/>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4B3D8865-8780-48F0-868D-E676FAE128BF}"/>
    <cellStyle name="Comma 4 5 2 3 2 3" xfId="11826" xr:uid="{97EED267-E97A-4A70-8B2D-F9F3BB9C9F1E}"/>
    <cellStyle name="Comma 4 5 2 3 3" xfId="5457" xr:uid="{00000000-0005-0000-0000-00002F0A0000}"/>
    <cellStyle name="Comma 4 5 2 3 3 2" xfId="13899" xr:uid="{65A4473F-0870-4B61-B511-21BB2C19CDC9}"/>
    <cellStyle name="Comma 4 5 2 3 4" xfId="9681" xr:uid="{AB569A37-00A8-41AC-A253-22E5BF5CC118}"/>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96E100E0-EC50-44CE-B436-3A68C6C94F1D}"/>
    <cellStyle name="Comma 4 5 2 4 2 3" xfId="12239" xr:uid="{ACB2F83E-DE2F-4583-9360-47C249199B28}"/>
    <cellStyle name="Comma 4 5 2 4 3" xfId="5870" xr:uid="{00000000-0005-0000-0000-0000330A0000}"/>
    <cellStyle name="Comma 4 5 2 4 3 2" xfId="14312" xr:uid="{EC996DA0-F53E-42A2-903A-1D907BA1EA4A}"/>
    <cellStyle name="Comma 4 5 2 4 4" xfId="10094" xr:uid="{0F59B06A-E7DB-495D-A80E-72A9152FC766}"/>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0CBAD4DA-24B4-49C3-9AC1-ECD6041EC8C1}"/>
    <cellStyle name="Comma 4 5 2 5 2 3" xfId="12652" xr:uid="{2EF9F7FC-4AA3-4F39-A3C8-C43F5161135C}"/>
    <cellStyle name="Comma 4 5 2 5 3" xfId="6283" xr:uid="{00000000-0005-0000-0000-0000370A0000}"/>
    <cellStyle name="Comma 4 5 2 5 3 2" xfId="14725" xr:uid="{752CEBF1-4D19-4148-9EE4-0E75D8CA69E8}"/>
    <cellStyle name="Comma 4 5 2 5 4" xfId="10507" xr:uid="{9959CA98-D936-4C9B-8906-57E5FB5E5C17}"/>
    <cellStyle name="Comma 4 5 2 6" xfId="2411" xr:uid="{00000000-0005-0000-0000-0000380A0000}"/>
    <cellStyle name="Comma 4 5 2 6 2" xfId="6696" xr:uid="{00000000-0005-0000-0000-0000390A0000}"/>
    <cellStyle name="Comma 4 5 2 6 2 2" xfId="15138" xr:uid="{96F9BCB7-93FF-43EF-BBF4-475675EBAD52}"/>
    <cellStyle name="Comma 4 5 2 6 3" xfId="10920" xr:uid="{B5F057DC-7F85-45FC-80DD-F36D0608E404}"/>
    <cellStyle name="Comma 4 5 2 7" xfId="2707" xr:uid="{00000000-0005-0000-0000-00003A0A0000}"/>
    <cellStyle name="Comma 4 5 2 8" xfId="2789" xr:uid="{00000000-0005-0000-0000-00003B0A0000}"/>
    <cellStyle name="Comma 4 5 2 8 2" xfId="7013" xr:uid="{00000000-0005-0000-0000-00003C0A0000}"/>
    <cellStyle name="Comma 4 5 2 8 2 2" xfId="15455" xr:uid="{20368A8E-C395-4E47-95F6-1E3BB4406961}"/>
    <cellStyle name="Comma 4 5 2 8 3" xfId="11237" xr:uid="{81D93F27-DD5C-4248-903C-8E33C7BBA4EE}"/>
    <cellStyle name="Comma 4 5 2 9" xfId="4630" xr:uid="{00000000-0005-0000-0000-00003D0A0000}"/>
    <cellStyle name="Comma 4 5 2 9 2" xfId="13072" xr:uid="{43737385-F861-426F-8A5F-7ABD5B8C261B}"/>
    <cellStyle name="Comma 4 5 3" xfId="694" xr:uid="{00000000-0005-0000-0000-00003E0A0000}"/>
    <cellStyle name="Comma 4 5 3 2" xfId="2965" xr:uid="{00000000-0005-0000-0000-00003F0A0000}"/>
    <cellStyle name="Comma 4 5 3 2 2" xfId="7188" xr:uid="{00000000-0005-0000-0000-0000400A0000}"/>
    <cellStyle name="Comma 4 5 3 2 2 2" xfId="15630" xr:uid="{740D16AE-F113-42AE-8124-D97DB45DD26C}"/>
    <cellStyle name="Comma 4 5 3 2 3" xfId="11412" xr:uid="{1F2CE85D-1DF7-410D-B7EE-615E50AAF977}"/>
    <cellStyle name="Comma 4 5 3 3" xfId="5043" xr:uid="{00000000-0005-0000-0000-0000410A0000}"/>
    <cellStyle name="Comma 4 5 3 3 2" xfId="13485" xr:uid="{80887CED-6298-46C9-8BA5-EF109E938D60}"/>
    <cellStyle name="Comma 4 5 3 4" xfId="9267" xr:uid="{C7E184F9-5114-4E95-B0C7-82FA8ED0605B}"/>
    <cellStyle name="Comma 4 5 4" xfId="1147" xr:uid="{00000000-0005-0000-0000-0000420A0000}"/>
    <cellStyle name="Comma 4 5 4 2" xfId="3378" xr:uid="{00000000-0005-0000-0000-0000430A0000}"/>
    <cellStyle name="Comma 4 5 4 2 2" xfId="7601" xr:uid="{00000000-0005-0000-0000-0000440A0000}"/>
    <cellStyle name="Comma 4 5 4 2 2 2" xfId="16043" xr:uid="{08AFB793-1AE1-49B2-BF71-486A84EEE814}"/>
    <cellStyle name="Comma 4 5 4 2 3" xfId="11825" xr:uid="{CB6921A3-1DA8-4F4B-8343-3E8D1360E3F8}"/>
    <cellStyle name="Comma 4 5 4 3" xfId="5456" xr:uid="{00000000-0005-0000-0000-0000450A0000}"/>
    <cellStyle name="Comma 4 5 4 3 2" xfId="13898" xr:uid="{67678FC0-5756-47ED-8E31-470B96D7A304}"/>
    <cellStyle name="Comma 4 5 4 4" xfId="9680" xr:uid="{16464C99-B5B2-4D75-B5D6-41D6C5D8CEE6}"/>
    <cellStyle name="Comma 4 5 5" xfId="1561" xr:uid="{00000000-0005-0000-0000-0000460A0000}"/>
    <cellStyle name="Comma 4 5 5 2" xfId="3791" xr:uid="{00000000-0005-0000-0000-0000470A0000}"/>
    <cellStyle name="Comma 4 5 5 2 2" xfId="8014" xr:uid="{00000000-0005-0000-0000-0000480A0000}"/>
    <cellStyle name="Comma 4 5 5 2 2 2" xfId="16456" xr:uid="{C6EE6858-2345-4956-93B8-5405B94F3896}"/>
    <cellStyle name="Comma 4 5 5 2 3" xfId="12238" xr:uid="{248ED5E0-36F8-4DD1-B676-E691A9C623FE}"/>
    <cellStyle name="Comma 4 5 5 3" xfId="5869" xr:uid="{00000000-0005-0000-0000-0000490A0000}"/>
    <cellStyle name="Comma 4 5 5 3 2" xfId="14311" xr:uid="{D186FEC2-5BC7-4D38-A0B0-D9D1EFCC507A}"/>
    <cellStyle name="Comma 4 5 5 4" xfId="10093" xr:uid="{F4E52E36-5D51-4057-B97B-0E16FCC9271F}"/>
    <cellStyle name="Comma 4 5 6" xfId="1975" xr:uid="{00000000-0005-0000-0000-00004A0A0000}"/>
    <cellStyle name="Comma 4 5 6 2" xfId="4204" xr:uid="{00000000-0005-0000-0000-00004B0A0000}"/>
    <cellStyle name="Comma 4 5 6 2 2" xfId="8427" xr:uid="{00000000-0005-0000-0000-00004C0A0000}"/>
    <cellStyle name="Comma 4 5 6 2 2 2" xfId="16869" xr:uid="{5B2E434C-2C01-4BE6-A825-141406A5B1A9}"/>
    <cellStyle name="Comma 4 5 6 2 3" xfId="12651" xr:uid="{15F40EB7-3185-4689-AA2A-8A55484901CF}"/>
    <cellStyle name="Comma 4 5 6 3" xfId="6282" xr:uid="{00000000-0005-0000-0000-00004D0A0000}"/>
    <cellStyle name="Comma 4 5 6 3 2" xfId="14724" xr:uid="{92578275-B98B-4303-AACD-8CDF9CE168CB}"/>
    <cellStyle name="Comma 4 5 6 4" xfId="10506" xr:uid="{2A175DB4-FA14-4CE2-83EB-9A26E3C1AC94}"/>
    <cellStyle name="Comma 4 5 7" xfId="2410" xr:uid="{00000000-0005-0000-0000-00004E0A0000}"/>
    <cellStyle name="Comma 4 5 7 2" xfId="6695" xr:uid="{00000000-0005-0000-0000-00004F0A0000}"/>
    <cellStyle name="Comma 4 5 7 2 2" xfId="15137" xr:uid="{CCE50B1B-1BA9-49BC-9886-26D28C4453F5}"/>
    <cellStyle name="Comma 4 5 7 3" xfId="10919" xr:uid="{8837EFFE-70BA-45AB-B261-E12CED98D552}"/>
    <cellStyle name="Comma 4 5 8" xfId="2706" xr:uid="{00000000-0005-0000-0000-0000500A0000}"/>
    <cellStyle name="Comma 4 5 9" xfId="2788" xr:uid="{00000000-0005-0000-0000-0000510A0000}"/>
    <cellStyle name="Comma 4 5 9 2" xfId="7012" xr:uid="{00000000-0005-0000-0000-0000520A0000}"/>
    <cellStyle name="Comma 4 5 9 2 2" xfId="15454" xr:uid="{7C5BEA71-5D78-4F1B-B29A-F16EAA90EF3E}"/>
    <cellStyle name="Comma 4 5 9 3" xfId="11236" xr:uid="{A079AB96-78CE-4407-BF35-200B7E40D6D7}"/>
    <cellStyle name="Comma 4 6" xfId="159" xr:uid="{00000000-0005-0000-0000-0000530A0000}"/>
    <cellStyle name="Comma 4 6 10" xfId="8855" xr:uid="{A83C8545-3BC5-422F-B454-D0619852B1B8}"/>
    <cellStyle name="Comma 4 6 2" xfId="696" xr:uid="{00000000-0005-0000-0000-0000540A0000}"/>
    <cellStyle name="Comma 4 6 2 2" xfId="2967" xr:uid="{00000000-0005-0000-0000-0000550A0000}"/>
    <cellStyle name="Comma 4 6 2 2 2" xfId="7190" xr:uid="{00000000-0005-0000-0000-0000560A0000}"/>
    <cellStyle name="Comma 4 6 2 2 2 2" xfId="15632" xr:uid="{DA05F0DA-BDC7-4009-890C-D5C43478F960}"/>
    <cellStyle name="Comma 4 6 2 2 3" xfId="11414" xr:uid="{FD59207A-6CC1-413C-AB0F-EDA9FB1AE46D}"/>
    <cellStyle name="Comma 4 6 2 3" xfId="5045" xr:uid="{00000000-0005-0000-0000-0000570A0000}"/>
    <cellStyle name="Comma 4 6 2 3 2" xfId="13487" xr:uid="{DA7FA399-CAE5-4AF1-BA52-6EC26C2E1814}"/>
    <cellStyle name="Comma 4 6 2 4" xfId="9269" xr:uid="{87199454-5D77-466C-8E63-7B9295F06AF4}"/>
    <cellStyle name="Comma 4 6 3" xfId="1149" xr:uid="{00000000-0005-0000-0000-0000580A0000}"/>
    <cellStyle name="Comma 4 6 3 2" xfId="3380" xr:uid="{00000000-0005-0000-0000-0000590A0000}"/>
    <cellStyle name="Comma 4 6 3 2 2" xfId="7603" xr:uid="{00000000-0005-0000-0000-00005A0A0000}"/>
    <cellStyle name="Comma 4 6 3 2 2 2" xfId="16045" xr:uid="{7F95C43A-7BBD-4071-8D02-76C039532F98}"/>
    <cellStyle name="Comma 4 6 3 2 3" xfId="11827" xr:uid="{3C6CA0A0-15B1-46F3-B83C-D5FA12138102}"/>
    <cellStyle name="Comma 4 6 3 3" xfId="5458" xr:uid="{00000000-0005-0000-0000-00005B0A0000}"/>
    <cellStyle name="Comma 4 6 3 3 2" xfId="13900" xr:uid="{B27064FD-B2E8-40E4-A449-597317CF472D}"/>
    <cellStyle name="Comma 4 6 3 4" xfId="9682" xr:uid="{E990C9FD-CCB4-4CDF-8035-A3DCD06DBE7D}"/>
    <cellStyle name="Comma 4 6 4" xfId="1563" xr:uid="{00000000-0005-0000-0000-00005C0A0000}"/>
    <cellStyle name="Comma 4 6 4 2" xfId="3793" xr:uid="{00000000-0005-0000-0000-00005D0A0000}"/>
    <cellStyle name="Comma 4 6 4 2 2" xfId="8016" xr:uid="{00000000-0005-0000-0000-00005E0A0000}"/>
    <cellStyle name="Comma 4 6 4 2 2 2" xfId="16458" xr:uid="{A9CA9CCE-F97A-4667-8FBC-9F08A83FA217}"/>
    <cellStyle name="Comma 4 6 4 2 3" xfId="12240" xr:uid="{DDD956B0-ED63-4849-912A-14635D56B1D9}"/>
    <cellStyle name="Comma 4 6 4 3" xfId="5871" xr:uid="{00000000-0005-0000-0000-00005F0A0000}"/>
    <cellStyle name="Comma 4 6 4 3 2" xfId="14313" xr:uid="{2E4A4EF8-645D-4773-B77A-1A20FBDE1649}"/>
    <cellStyle name="Comma 4 6 4 4" xfId="10095" xr:uid="{F035C374-B304-4D62-AC26-4F4E3B39AE2E}"/>
    <cellStyle name="Comma 4 6 5" xfId="1977" xr:uid="{00000000-0005-0000-0000-0000600A0000}"/>
    <cellStyle name="Comma 4 6 5 2" xfId="4206" xr:uid="{00000000-0005-0000-0000-0000610A0000}"/>
    <cellStyle name="Comma 4 6 5 2 2" xfId="8429" xr:uid="{00000000-0005-0000-0000-0000620A0000}"/>
    <cellStyle name="Comma 4 6 5 2 2 2" xfId="16871" xr:uid="{B542E02F-782C-4BEE-BCB1-57E45F29AEF4}"/>
    <cellStyle name="Comma 4 6 5 2 3" xfId="12653" xr:uid="{8DB90C89-5333-419F-AADE-FD57B7FF3838}"/>
    <cellStyle name="Comma 4 6 5 3" xfId="6284" xr:uid="{00000000-0005-0000-0000-0000630A0000}"/>
    <cellStyle name="Comma 4 6 5 3 2" xfId="14726" xr:uid="{5D6C1686-A9D9-45DF-93D1-EF46409AC78E}"/>
    <cellStyle name="Comma 4 6 5 4" xfId="10508" xr:uid="{C01B5CEA-08AB-415E-BB28-304677C0FF3D}"/>
    <cellStyle name="Comma 4 6 6" xfId="2412" xr:uid="{00000000-0005-0000-0000-0000640A0000}"/>
    <cellStyle name="Comma 4 6 6 2" xfId="6697" xr:uid="{00000000-0005-0000-0000-0000650A0000}"/>
    <cellStyle name="Comma 4 6 6 2 2" xfId="15139" xr:uid="{436B6B00-E5F8-41DB-8C06-44759E2D15CE}"/>
    <cellStyle name="Comma 4 6 6 3" xfId="10921" xr:uid="{BB76D9A4-52F5-4617-8D59-07281CD982F3}"/>
    <cellStyle name="Comma 4 6 7" xfId="2708" xr:uid="{00000000-0005-0000-0000-0000660A0000}"/>
    <cellStyle name="Comma 4 6 8" xfId="2790" xr:uid="{00000000-0005-0000-0000-0000670A0000}"/>
    <cellStyle name="Comma 4 6 8 2" xfId="7014" xr:uid="{00000000-0005-0000-0000-0000680A0000}"/>
    <cellStyle name="Comma 4 6 8 2 2" xfId="15456" xr:uid="{1ADD2854-88A8-40BF-97F8-5152103F7F5D}"/>
    <cellStyle name="Comma 4 6 8 3" xfId="11238" xr:uid="{BDD25E97-E739-43F4-90C0-9553F9A933EA}"/>
    <cellStyle name="Comma 4 6 9" xfId="4631" xr:uid="{00000000-0005-0000-0000-0000690A0000}"/>
    <cellStyle name="Comma 4 6 9 2" xfId="13073" xr:uid="{DA91A088-D1AA-4EB7-9F47-D32FD26A0F6F}"/>
    <cellStyle name="Comma 4 7" xfId="160" xr:uid="{00000000-0005-0000-0000-00006A0A0000}"/>
    <cellStyle name="Comma 4 7 10" xfId="8856" xr:uid="{E56D973A-DA53-4FC2-9B51-E1E37DC62384}"/>
    <cellStyle name="Comma 4 7 2" xfId="697" xr:uid="{00000000-0005-0000-0000-00006B0A0000}"/>
    <cellStyle name="Comma 4 7 2 2" xfId="2968" xr:uid="{00000000-0005-0000-0000-00006C0A0000}"/>
    <cellStyle name="Comma 4 7 2 2 2" xfId="7191" xr:uid="{00000000-0005-0000-0000-00006D0A0000}"/>
    <cellStyle name="Comma 4 7 2 2 2 2" xfId="15633" xr:uid="{49375C38-B1FD-4714-836A-AFC1BA897E32}"/>
    <cellStyle name="Comma 4 7 2 2 3" xfId="11415" xr:uid="{31CF7E6E-7C22-4099-864F-0299831C7273}"/>
    <cellStyle name="Comma 4 7 2 3" xfId="5046" xr:uid="{00000000-0005-0000-0000-00006E0A0000}"/>
    <cellStyle name="Comma 4 7 2 3 2" xfId="13488" xr:uid="{CBAA8EF6-2DCE-4AAB-AD84-8AC88F4A3484}"/>
    <cellStyle name="Comma 4 7 2 4" xfId="9270" xr:uid="{2744F7A7-E7FF-4509-8AFE-F557C41FCFE8}"/>
    <cellStyle name="Comma 4 7 3" xfId="1150" xr:uid="{00000000-0005-0000-0000-00006F0A0000}"/>
    <cellStyle name="Comma 4 7 3 2" xfId="3381" xr:uid="{00000000-0005-0000-0000-0000700A0000}"/>
    <cellStyle name="Comma 4 7 3 2 2" xfId="7604" xr:uid="{00000000-0005-0000-0000-0000710A0000}"/>
    <cellStyle name="Comma 4 7 3 2 2 2" xfId="16046" xr:uid="{937B302C-7B88-43BB-A836-523DB215784A}"/>
    <cellStyle name="Comma 4 7 3 2 3" xfId="11828" xr:uid="{666FD449-1FA9-47CF-BAD2-36698A0DAFCE}"/>
    <cellStyle name="Comma 4 7 3 3" xfId="5459" xr:uid="{00000000-0005-0000-0000-0000720A0000}"/>
    <cellStyle name="Comma 4 7 3 3 2" xfId="13901" xr:uid="{3980C003-FF24-470D-AB22-615BE064132B}"/>
    <cellStyle name="Comma 4 7 3 4" xfId="9683" xr:uid="{3EF808B0-2E09-4273-9858-05F4E2D6D344}"/>
    <cellStyle name="Comma 4 7 4" xfId="1564" xr:uid="{00000000-0005-0000-0000-0000730A0000}"/>
    <cellStyle name="Comma 4 7 4 2" xfId="3794" xr:uid="{00000000-0005-0000-0000-0000740A0000}"/>
    <cellStyle name="Comma 4 7 4 2 2" xfId="8017" xr:uid="{00000000-0005-0000-0000-0000750A0000}"/>
    <cellStyle name="Comma 4 7 4 2 2 2" xfId="16459" xr:uid="{1105236D-289E-4E8B-A150-0B6C22090EC8}"/>
    <cellStyle name="Comma 4 7 4 2 3" xfId="12241" xr:uid="{A81D2912-E1CC-41DB-8453-85DE5FAFCF8C}"/>
    <cellStyle name="Comma 4 7 4 3" xfId="5872" xr:uid="{00000000-0005-0000-0000-0000760A0000}"/>
    <cellStyle name="Comma 4 7 4 3 2" xfId="14314" xr:uid="{79A77839-D6BA-4DF8-9F31-ECD8049559CE}"/>
    <cellStyle name="Comma 4 7 4 4" xfId="10096" xr:uid="{17668FB4-E09D-4CF1-A56B-9A6FD78D6508}"/>
    <cellStyle name="Comma 4 7 5" xfId="1978" xr:uid="{00000000-0005-0000-0000-0000770A0000}"/>
    <cellStyle name="Comma 4 7 5 2" xfId="4207" xr:uid="{00000000-0005-0000-0000-0000780A0000}"/>
    <cellStyle name="Comma 4 7 5 2 2" xfId="8430" xr:uid="{00000000-0005-0000-0000-0000790A0000}"/>
    <cellStyle name="Comma 4 7 5 2 2 2" xfId="16872" xr:uid="{20B3C25A-94BC-462C-8843-E586190286E9}"/>
    <cellStyle name="Comma 4 7 5 2 3" xfId="12654" xr:uid="{BCE10810-AA31-4C72-9C03-E1D96B8C7051}"/>
    <cellStyle name="Comma 4 7 5 3" xfId="6285" xr:uid="{00000000-0005-0000-0000-00007A0A0000}"/>
    <cellStyle name="Comma 4 7 5 3 2" xfId="14727" xr:uid="{C398EF2C-C6F8-4E24-B88B-F781C0CF34F2}"/>
    <cellStyle name="Comma 4 7 5 4" xfId="10509" xr:uid="{88EB521E-1A93-4FCD-8F3D-71DC134A6932}"/>
    <cellStyle name="Comma 4 7 6" xfId="2413" xr:uid="{00000000-0005-0000-0000-00007B0A0000}"/>
    <cellStyle name="Comma 4 7 6 2" xfId="6698" xr:uid="{00000000-0005-0000-0000-00007C0A0000}"/>
    <cellStyle name="Comma 4 7 6 2 2" xfId="15140" xr:uid="{F421A2F5-D99E-4575-8CAE-9D600B7F5F3E}"/>
    <cellStyle name="Comma 4 7 6 3" xfId="10922" xr:uid="{AE903AE4-C1EC-4EE9-B8EA-A0B6B9A53E31}"/>
    <cellStyle name="Comma 4 7 7" xfId="2709" xr:uid="{00000000-0005-0000-0000-00007D0A0000}"/>
    <cellStyle name="Comma 4 7 8" xfId="2791" xr:uid="{00000000-0005-0000-0000-00007E0A0000}"/>
    <cellStyle name="Comma 4 7 8 2" xfId="7015" xr:uid="{00000000-0005-0000-0000-00007F0A0000}"/>
    <cellStyle name="Comma 4 7 8 2 2" xfId="15457" xr:uid="{1FCFE980-F294-43C8-86FA-46CAE3AB1D37}"/>
    <cellStyle name="Comma 4 7 8 3" xfId="11239" xr:uid="{B6F37D58-CE9C-4279-9AA6-D50D5C25698E}"/>
    <cellStyle name="Comma 4 7 9" xfId="4632" xr:uid="{00000000-0005-0000-0000-0000800A0000}"/>
    <cellStyle name="Comma 4 7 9 2" xfId="13074" xr:uid="{CB010F38-EEF1-457E-8D47-BF3E063A8148}"/>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710F74D9-4F67-425F-BD5D-C8E0874781B1}"/>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F708440C-D928-4CB7-96FE-BB367525B9D8}"/>
    <cellStyle name="Currency 14 3" xfId="8720" xr:uid="{729B09A7-2394-4D7C-912C-1471FB3455A3}"/>
    <cellStyle name="Currency 14 3 2" xfId="8724" xr:uid="{1945FB0F-31EC-4D98-B64C-BAFBADA341A1}"/>
    <cellStyle name="Currency 14 3 2 2" xfId="8727" xr:uid="{03BA8DEE-11D2-406B-B26D-8EE163916FB0}"/>
    <cellStyle name="Currency 14 3 2 2 2" xfId="17168" xr:uid="{B8B575A6-C4B0-4DDD-B652-DE817F8C4080}"/>
    <cellStyle name="Currency 14 3 2 3" xfId="17165" xr:uid="{98F574E9-857E-4917-98F9-55641328D19F}"/>
    <cellStyle name="Currency 14 3 3" xfId="17162" xr:uid="{04D81803-CF1A-4477-A06F-64128478168C}"/>
    <cellStyle name="Currency 14 4" xfId="12945" xr:uid="{2858AD29-EC8D-460E-8045-9530F563D09B}"/>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941602C8-D496-48F0-AA6E-687687E6D219}"/>
    <cellStyle name="Currency 3 2 2 10 3" xfId="11240" xr:uid="{D2CE9A58-FF69-4452-8AB7-0237BFA55C5F}"/>
    <cellStyle name="Currency 3 2 2 11" xfId="4633" xr:uid="{00000000-0005-0000-0000-0000A50A0000}"/>
    <cellStyle name="Currency 3 2 2 11 2" xfId="13075" xr:uid="{199A9795-CE11-4872-BFB8-E4EF8B1CF589}"/>
    <cellStyle name="Currency 3 2 2 12" xfId="8857" xr:uid="{1B4EE763-4C0B-4E49-B390-BEAF627E2084}"/>
    <cellStyle name="Currency 3 2 2 2" xfId="179" xr:uid="{00000000-0005-0000-0000-0000A60A0000}"/>
    <cellStyle name="Currency 3 2 2 2 10" xfId="4634" xr:uid="{00000000-0005-0000-0000-0000A70A0000}"/>
    <cellStyle name="Currency 3 2 2 2 10 2" xfId="13076" xr:uid="{F92EF6E5-0615-42BF-993F-CC1416C1634F}"/>
    <cellStyle name="Currency 3 2 2 2 11" xfId="8858" xr:uid="{947C0852-2936-4508-A128-3A3AF7121FBD}"/>
    <cellStyle name="Currency 3 2 2 2 2" xfId="180" xr:uid="{00000000-0005-0000-0000-0000A80A0000}"/>
    <cellStyle name="Currency 3 2 2 2 2 10" xfId="8859" xr:uid="{6BA44C18-2F90-42CD-A8FC-2F29B926B521}"/>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F98D1F39-5F21-4E8B-A3AA-8C1B8A9EA775}"/>
    <cellStyle name="Currency 3 2 2 2 2 2 2 3" xfId="11418" xr:uid="{5835FAC7-A065-43C2-A6A6-15D04D93FFD5}"/>
    <cellStyle name="Currency 3 2 2 2 2 2 3" xfId="5049" xr:uid="{00000000-0005-0000-0000-0000AC0A0000}"/>
    <cellStyle name="Currency 3 2 2 2 2 2 3 2" xfId="13491" xr:uid="{ECF6D4A0-B946-4EED-A66B-AFD98C85683A}"/>
    <cellStyle name="Currency 3 2 2 2 2 2 4" xfId="9273" xr:uid="{B6BD091C-F834-4619-BF74-FA716AB52D34}"/>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C1FFD0F4-5DDE-4137-98BD-5FE32DD6AC5D}"/>
    <cellStyle name="Currency 3 2 2 2 2 3 2 3" xfId="11831" xr:uid="{00F79AC8-E084-447D-87E3-31F1A4E791E8}"/>
    <cellStyle name="Currency 3 2 2 2 2 3 3" xfId="5462" xr:uid="{00000000-0005-0000-0000-0000B00A0000}"/>
    <cellStyle name="Currency 3 2 2 2 2 3 3 2" xfId="13904" xr:uid="{235FA1C1-AD47-48E6-831C-EE7442D279B3}"/>
    <cellStyle name="Currency 3 2 2 2 2 3 4" xfId="9686" xr:uid="{385097A2-D927-4E0D-A61A-2710A9EB2F92}"/>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DB1E58B7-F007-4D2E-BD99-5A447C46612E}"/>
    <cellStyle name="Currency 3 2 2 2 2 4 2 3" xfId="12244" xr:uid="{9A561C1E-C6BD-4A7C-A536-686DD17BB084}"/>
    <cellStyle name="Currency 3 2 2 2 2 4 3" xfId="5875" xr:uid="{00000000-0005-0000-0000-0000B40A0000}"/>
    <cellStyle name="Currency 3 2 2 2 2 4 3 2" xfId="14317" xr:uid="{4B85D1BB-2784-4893-A32B-AD3561165F8C}"/>
    <cellStyle name="Currency 3 2 2 2 2 4 4" xfId="10099" xr:uid="{32C1AC7D-3914-4AF1-B274-EF62619E791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614856AA-399B-4732-9A9D-A8AD4BA8F520}"/>
    <cellStyle name="Currency 3 2 2 2 2 5 2 3" xfId="12657" xr:uid="{FEBB4B67-C1E9-4135-BEA6-DBBA48A2A2C5}"/>
    <cellStyle name="Currency 3 2 2 2 2 5 3" xfId="6288" xr:uid="{00000000-0005-0000-0000-0000B80A0000}"/>
    <cellStyle name="Currency 3 2 2 2 2 5 3 2" xfId="14730" xr:uid="{5FE8755B-84F5-4400-AF00-BD6B15E880DC}"/>
    <cellStyle name="Currency 3 2 2 2 2 5 4" xfId="10512" xr:uid="{0CED5278-81FE-4258-ADF5-0298E79118EC}"/>
    <cellStyle name="Currency 3 2 2 2 2 6" xfId="2416" xr:uid="{00000000-0005-0000-0000-0000B90A0000}"/>
    <cellStyle name="Currency 3 2 2 2 2 6 2" xfId="6701" xr:uid="{00000000-0005-0000-0000-0000BA0A0000}"/>
    <cellStyle name="Currency 3 2 2 2 2 6 2 2" xfId="15143" xr:uid="{6F0AF3C9-E93E-4ABC-B60C-5FC19BC49F59}"/>
    <cellStyle name="Currency 3 2 2 2 2 6 3" xfId="10925" xr:uid="{B00DA1A8-EE3F-4470-B6F5-C3C463879031}"/>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7104DF71-65B5-4E62-A732-42FEE75FF509}"/>
    <cellStyle name="Currency 3 2 2 2 2 8 3" xfId="11242" xr:uid="{AFB4C21E-33F9-45FB-A016-EEA5D441888A}"/>
    <cellStyle name="Currency 3 2 2 2 2 9" xfId="4635" xr:uid="{00000000-0005-0000-0000-0000BE0A0000}"/>
    <cellStyle name="Currency 3 2 2 2 2 9 2" xfId="13077" xr:uid="{234A9DF8-7914-495C-8ACA-47684220AE6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E4A1559D-0116-4B90-97E9-16ADDA23CE8D}"/>
    <cellStyle name="Currency 3 2 2 2 3 2 3" xfId="11417" xr:uid="{B0505E6C-AAAA-4086-9961-97E36A864188}"/>
    <cellStyle name="Currency 3 2 2 2 3 3" xfId="5048" xr:uid="{00000000-0005-0000-0000-0000C20A0000}"/>
    <cellStyle name="Currency 3 2 2 2 3 3 2" xfId="13490" xr:uid="{FD3115AF-4FFA-4DD2-8EBE-1259783FC624}"/>
    <cellStyle name="Currency 3 2 2 2 3 4" xfId="9272" xr:uid="{F57D27F7-6C66-49BB-98F1-1E4CBEAC4757}"/>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2B461228-DAE8-44C5-9B04-8FD51AEE04D6}"/>
    <cellStyle name="Currency 3 2 2 2 4 2 3" xfId="11830" xr:uid="{A5758F8D-A608-4421-88CB-E022180DA31B}"/>
    <cellStyle name="Currency 3 2 2 2 4 3" xfId="5461" xr:uid="{00000000-0005-0000-0000-0000C60A0000}"/>
    <cellStyle name="Currency 3 2 2 2 4 3 2" xfId="13903" xr:uid="{433DDAEC-E5C3-483F-B9E9-1B68BD70FBF6}"/>
    <cellStyle name="Currency 3 2 2 2 4 4" xfId="9685" xr:uid="{BDE0752B-BD8A-42B0-AF6B-59D27B8E1AF4}"/>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313B2181-B51A-48BB-925E-7050E67BC0B3}"/>
    <cellStyle name="Currency 3 2 2 2 5 2 3" xfId="12243" xr:uid="{00CC41C0-BF77-459A-88A5-A5E6E8213CC3}"/>
    <cellStyle name="Currency 3 2 2 2 5 3" xfId="5874" xr:uid="{00000000-0005-0000-0000-0000CA0A0000}"/>
    <cellStyle name="Currency 3 2 2 2 5 3 2" xfId="14316" xr:uid="{D40B3CC8-55CC-4CC8-933F-78BE81C33DF3}"/>
    <cellStyle name="Currency 3 2 2 2 5 4" xfId="10098" xr:uid="{6C4D8A2C-9448-4D86-A81E-AB9C54077B7D}"/>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3D6C4D7B-98C8-4E96-B438-E15D6372A42C}"/>
    <cellStyle name="Currency 3 2 2 2 6 2 3" xfId="12656" xr:uid="{0A32A994-F30B-4A6D-B9C4-1836AA55E69E}"/>
    <cellStyle name="Currency 3 2 2 2 6 3" xfId="6287" xr:uid="{00000000-0005-0000-0000-0000CE0A0000}"/>
    <cellStyle name="Currency 3 2 2 2 6 3 2" xfId="14729" xr:uid="{BE572682-FFA6-44FF-9DE2-53DFC8A627FC}"/>
    <cellStyle name="Currency 3 2 2 2 6 4" xfId="10511" xr:uid="{231D89A2-29FE-4C92-995F-EE1DF0AE977A}"/>
    <cellStyle name="Currency 3 2 2 2 7" xfId="2415" xr:uid="{00000000-0005-0000-0000-0000CF0A0000}"/>
    <cellStyle name="Currency 3 2 2 2 7 2" xfId="6700" xr:uid="{00000000-0005-0000-0000-0000D00A0000}"/>
    <cellStyle name="Currency 3 2 2 2 7 2 2" xfId="15142" xr:uid="{16631E53-5FCF-434C-AEFE-27BAA16026A4}"/>
    <cellStyle name="Currency 3 2 2 2 7 3" xfId="10924" xr:uid="{D50D40EA-940B-4B57-B796-DFCFE5D9E074}"/>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C550B822-A2E4-497F-AC4D-390B0C923571}"/>
    <cellStyle name="Currency 3 2 2 2 9 3" xfId="11241" xr:uid="{88915E31-2281-4C93-9C92-68055352D9A2}"/>
    <cellStyle name="Currency 3 2 2 3" xfId="181" xr:uid="{00000000-0005-0000-0000-0000D40A0000}"/>
    <cellStyle name="Currency 3 2 2 3 10" xfId="8860" xr:uid="{C0162190-8708-47B5-9150-49769BA536A6}"/>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BDB4422A-F471-4DAC-B42A-3A75A4DDAA92}"/>
    <cellStyle name="Currency 3 2 2 3 2 2 3" xfId="11419" xr:uid="{5C4DECC2-C14F-4864-8FA9-EBA9A95CBBB7}"/>
    <cellStyle name="Currency 3 2 2 3 2 3" xfId="5050" xr:uid="{00000000-0005-0000-0000-0000D80A0000}"/>
    <cellStyle name="Currency 3 2 2 3 2 3 2" xfId="13492" xr:uid="{575C6786-4278-42DE-A529-F6C87B61894D}"/>
    <cellStyle name="Currency 3 2 2 3 2 4" xfId="9274" xr:uid="{871FFB16-BE1B-4F6E-8A03-1D030CC06E3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E0E55240-EF7A-4DE5-A6BB-A9A19026EAF0}"/>
    <cellStyle name="Currency 3 2 2 3 3 2 3" xfId="11832" xr:uid="{DC9F37F5-C8A5-4BC1-B84B-1ACCA6A56875}"/>
    <cellStyle name="Currency 3 2 2 3 3 3" xfId="5463" xr:uid="{00000000-0005-0000-0000-0000DC0A0000}"/>
    <cellStyle name="Currency 3 2 2 3 3 3 2" xfId="13905" xr:uid="{4D7B7A0C-1514-4221-A7E5-BB7CAA637438}"/>
    <cellStyle name="Currency 3 2 2 3 3 4" xfId="9687" xr:uid="{2F1B898A-E8E3-4780-8364-99FC76944127}"/>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47B8AAF3-6F28-49A6-B1B3-1CCF3FA97C31}"/>
    <cellStyle name="Currency 3 2 2 3 4 2 3" xfId="12245" xr:uid="{D5B0F57C-3A42-47A1-90F2-82AAF2540CC1}"/>
    <cellStyle name="Currency 3 2 2 3 4 3" xfId="5876" xr:uid="{00000000-0005-0000-0000-0000E00A0000}"/>
    <cellStyle name="Currency 3 2 2 3 4 3 2" xfId="14318" xr:uid="{B2A63A71-2468-4D23-9C35-2BC97949F886}"/>
    <cellStyle name="Currency 3 2 2 3 4 4" xfId="10100" xr:uid="{33D41030-B9EB-4365-8C59-544E579091FB}"/>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3981FF2C-7DEB-4CCC-94B5-29ACB9DFC3D4}"/>
    <cellStyle name="Currency 3 2 2 3 5 2 3" xfId="12658" xr:uid="{82E83D71-731D-423E-8431-25044CE5AAA8}"/>
    <cellStyle name="Currency 3 2 2 3 5 3" xfId="6289" xr:uid="{00000000-0005-0000-0000-0000E40A0000}"/>
    <cellStyle name="Currency 3 2 2 3 5 3 2" xfId="14731" xr:uid="{BFF5EDC2-DB79-4E0A-B35A-2A52CA087A83}"/>
    <cellStyle name="Currency 3 2 2 3 5 4" xfId="10513" xr:uid="{C314889B-3898-4BE2-8099-69719B0F52E8}"/>
    <cellStyle name="Currency 3 2 2 3 6" xfId="2417" xr:uid="{00000000-0005-0000-0000-0000E50A0000}"/>
    <cellStyle name="Currency 3 2 2 3 6 2" xfId="6702" xr:uid="{00000000-0005-0000-0000-0000E60A0000}"/>
    <cellStyle name="Currency 3 2 2 3 6 2 2" xfId="15144" xr:uid="{6B033CE4-5CAE-4E58-B135-F2218E164AF9}"/>
    <cellStyle name="Currency 3 2 2 3 6 3" xfId="10926" xr:uid="{6F0E3FE2-422E-439C-9C16-F26F59E681C8}"/>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7C5C0E98-C024-431B-A811-D23180B930FB}"/>
    <cellStyle name="Currency 3 2 2 3 8 3" xfId="11243" xr:uid="{09B50795-18A4-4A98-AD8D-7E0C7E339928}"/>
    <cellStyle name="Currency 3 2 2 3 9" xfId="4636" xr:uid="{00000000-0005-0000-0000-0000EA0A0000}"/>
    <cellStyle name="Currency 3 2 2 3 9 2" xfId="13078" xr:uid="{38EB1DA2-E2EE-4060-9DC8-84DC21D48FEE}"/>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E386256B-F363-4EF4-B00C-7666CCF3109E}"/>
    <cellStyle name="Currency 3 2 2 4 2 3" xfId="11416" xr:uid="{70606E0E-56BB-41AC-9F47-216B78ECF95C}"/>
    <cellStyle name="Currency 3 2 2 4 3" xfId="5047" xr:uid="{00000000-0005-0000-0000-0000EE0A0000}"/>
    <cellStyle name="Currency 3 2 2 4 3 2" xfId="13489" xr:uid="{97698BF6-8C57-424C-902F-71194DFF580F}"/>
    <cellStyle name="Currency 3 2 2 4 4" xfId="9271" xr:uid="{1E569368-A66C-4F19-A6D8-02CC2100CAE8}"/>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2DB51CF0-5E85-412B-833D-C08BAE1E4BAD}"/>
    <cellStyle name="Currency 3 2 2 5 2 3" xfId="11829" xr:uid="{51CA4097-9752-4893-B5A5-806E2B5AA691}"/>
    <cellStyle name="Currency 3 2 2 5 3" xfId="5460" xr:uid="{00000000-0005-0000-0000-0000F20A0000}"/>
    <cellStyle name="Currency 3 2 2 5 3 2" xfId="13902" xr:uid="{1B1210F7-9435-4637-928E-67A6A4D21561}"/>
    <cellStyle name="Currency 3 2 2 5 4" xfId="9684" xr:uid="{75BA4349-B2D2-4DC9-9020-E764C0740688}"/>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D258E394-282F-4446-BC8B-580620E74485}"/>
    <cellStyle name="Currency 3 2 2 6 2 3" xfId="12242" xr:uid="{5215C717-4450-4D82-A179-B54E222991E7}"/>
    <cellStyle name="Currency 3 2 2 6 3" xfId="5873" xr:uid="{00000000-0005-0000-0000-0000F60A0000}"/>
    <cellStyle name="Currency 3 2 2 6 3 2" xfId="14315" xr:uid="{F0254D7F-D61E-44E0-A38B-EB1889830A1D}"/>
    <cellStyle name="Currency 3 2 2 6 4" xfId="10097" xr:uid="{F8A2BA38-65C7-4A55-8684-DCA61C114A64}"/>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E23309AA-872B-489C-BA0C-25C46ED2F3CE}"/>
    <cellStyle name="Currency 3 2 2 7 2 3" xfId="12655" xr:uid="{D4DD1626-93A4-46D2-98BB-B9B5080FEE8E}"/>
    <cellStyle name="Currency 3 2 2 7 3" xfId="6286" xr:uid="{00000000-0005-0000-0000-0000FA0A0000}"/>
    <cellStyle name="Currency 3 2 2 7 3 2" xfId="14728" xr:uid="{027C33B8-8CBC-49E1-90EF-0B82A9A84E56}"/>
    <cellStyle name="Currency 3 2 2 7 4" xfId="10510" xr:uid="{7A5EA693-EFF9-4214-A493-8172276EA84C}"/>
    <cellStyle name="Currency 3 2 2 8" xfId="2414" xr:uid="{00000000-0005-0000-0000-0000FB0A0000}"/>
    <cellStyle name="Currency 3 2 2 8 2" xfId="6699" xr:uid="{00000000-0005-0000-0000-0000FC0A0000}"/>
    <cellStyle name="Currency 3 2 2 8 2 2" xfId="15141" xr:uid="{C6AAA270-4D0D-4C28-8941-8E3EB8EC1518}"/>
    <cellStyle name="Currency 3 2 2 8 3" xfId="10923" xr:uid="{ECF5E48D-4FEB-465D-94DC-E024BD51F706}"/>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E23C236F-4280-4E2C-BA11-1D7EFB321AAF}"/>
    <cellStyle name="Currency 3 2 3 11" xfId="8861" xr:uid="{36DA7734-8D8B-44CD-8902-73F57C518919}"/>
    <cellStyle name="Currency 3 2 3 2" xfId="183" xr:uid="{00000000-0005-0000-0000-0000000B0000}"/>
    <cellStyle name="Currency 3 2 3 2 10" xfId="8862" xr:uid="{BC462D7C-B0D1-43C2-A8F7-EB33520354F8}"/>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03521A5D-24B9-4839-815C-62ADBC429CB3}"/>
    <cellStyle name="Currency 3 2 3 2 2 2 3" xfId="11421" xr:uid="{BB21FF1B-DC40-4E0A-A558-C7782E600E23}"/>
    <cellStyle name="Currency 3 2 3 2 2 3" xfId="5052" xr:uid="{00000000-0005-0000-0000-0000040B0000}"/>
    <cellStyle name="Currency 3 2 3 2 2 3 2" xfId="13494" xr:uid="{1A86995D-9E0F-4C2B-93F0-C6EE20AD4689}"/>
    <cellStyle name="Currency 3 2 3 2 2 4" xfId="9276" xr:uid="{1EF79533-E9FB-4A30-A610-45550F61CD4D}"/>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054CB21C-44E1-477C-91A5-C5B1B9869DB5}"/>
    <cellStyle name="Currency 3 2 3 2 3 2 3" xfId="11834" xr:uid="{45CEBCF6-6B4B-4277-8B09-EC1502E7EC2C}"/>
    <cellStyle name="Currency 3 2 3 2 3 3" xfId="5465" xr:uid="{00000000-0005-0000-0000-0000080B0000}"/>
    <cellStyle name="Currency 3 2 3 2 3 3 2" xfId="13907" xr:uid="{D80E7CC0-D9C9-46ED-A454-FC1F34C6FAA4}"/>
    <cellStyle name="Currency 3 2 3 2 3 4" xfId="9689" xr:uid="{898A7F3B-1FAE-4CA3-92E5-0577561E436F}"/>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204A271A-C4C0-45D0-A85D-05F3EA83C257}"/>
    <cellStyle name="Currency 3 2 3 2 4 2 3" xfId="12247" xr:uid="{15DB2345-5586-4263-BDCC-B43E4BDBD9C2}"/>
    <cellStyle name="Currency 3 2 3 2 4 3" xfId="5878" xr:uid="{00000000-0005-0000-0000-00000C0B0000}"/>
    <cellStyle name="Currency 3 2 3 2 4 3 2" xfId="14320" xr:uid="{705AF14C-4286-4718-9EE3-8B1501FA0345}"/>
    <cellStyle name="Currency 3 2 3 2 4 4" xfId="10102" xr:uid="{1D7AA15A-7895-476E-8CDE-4819E3C1F08C}"/>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93F9271F-956A-4B80-8BAA-3360BEB75C7F}"/>
    <cellStyle name="Currency 3 2 3 2 5 2 3" xfId="12660" xr:uid="{C8A6A3CA-8B94-4DA1-937D-6D48F41CFB39}"/>
    <cellStyle name="Currency 3 2 3 2 5 3" xfId="6291" xr:uid="{00000000-0005-0000-0000-0000100B0000}"/>
    <cellStyle name="Currency 3 2 3 2 5 3 2" xfId="14733" xr:uid="{00A4CCB1-D5B9-4951-9DC9-7918931C4A34}"/>
    <cellStyle name="Currency 3 2 3 2 5 4" xfId="10515" xr:uid="{BCC129B9-5B44-4886-B307-7FBBF3A14110}"/>
    <cellStyle name="Currency 3 2 3 2 6" xfId="2419" xr:uid="{00000000-0005-0000-0000-0000110B0000}"/>
    <cellStyle name="Currency 3 2 3 2 6 2" xfId="6704" xr:uid="{00000000-0005-0000-0000-0000120B0000}"/>
    <cellStyle name="Currency 3 2 3 2 6 2 2" xfId="15146" xr:uid="{5B26C5F2-BE53-41AA-81E8-80169297BCE8}"/>
    <cellStyle name="Currency 3 2 3 2 6 3" xfId="10928" xr:uid="{652E6441-9780-4C65-A8DE-D012D0998C07}"/>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CDF2C596-FC9E-4E85-9A27-E31237E29B90}"/>
    <cellStyle name="Currency 3 2 3 2 8 3" xfId="11245" xr:uid="{9240B46E-01B1-4AFF-9C53-6C5A24A5CC61}"/>
    <cellStyle name="Currency 3 2 3 2 9" xfId="4638" xr:uid="{00000000-0005-0000-0000-0000160B0000}"/>
    <cellStyle name="Currency 3 2 3 2 9 2" xfId="13080" xr:uid="{8FB78764-4B9C-4604-ABB1-5E3834E0539E}"/>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699559D7-637E-493C-AB51-7EE97B49AC62}"/>
    <cellStyle name="Currency 3 2 3 3 2 3" xfId="11420" xr:uid="{47A198F8-4756-4E38-BA85-8A574FC196A4}"/>
    <cellStyle name="Currency 3 2 3 3 3" xfId="5051" xr:uid="{00000000-0005-0000-0000-00001A0B0000}"/>
    <cellStyle name="Currency 3 2 3 3 3 2" xfId="13493" xr:uid="{D5433D5A-B973-4DBA-AD12-ADBB4CEEC5B0}"/>
    <cellStyle name="Currency 3 2 3 3 4" xfId="9275" xr:uid="{E423441B-91C5-4C7C-A8D0-A4E4040F8657}"/>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4CF8E589-373E-450C-AC46-7A3CA9E345AF}"/>
    <cellStyle name="Currency 3 2 3 4 2 3" xfId="11833" xr:uid="{D3EABAF0-F28B-4C92-A26E-C5FE2C5E22DE}"/>
    <cellStyle name="Currency 3 2 3 4 3" xfId="5464" xr:uid="{00000000-0005-0000-0000-00001E0B0000}"/>
    <cellStyle name="Currency 3 2 3 4 3 2" xfId="13906" xr:uid="{F9161817-E350-4928-8B38-4B71A50F5435}"/>
    <cellStyle name="Currency 3 2 3 4 4" xfId="9688" xr:uid="{7A9B4D82-6A90-42A6-81A7-537AEE676C50}"/>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424BA68E-AB64-4726-8307-8FE7774D08AD}"/>
    <cellStyle name="Currency 3 2 3 5 2 3" xfId="12246" xr:uid="{FF977F64-9AB9-4115-8632-716E9C88C671}"/>
    <cellStyle name="Currency 3 2 3 5 3" xfId="5877" xr:uid="{00000000-0005-0000-0000-0000220B0000}"/>
    <cellStyle name="Currency 3 2 3 5 3 2" xfId="14319" xr:uid="{11ADC518-5729-4D24-8A3B-52D6ACE9AD52}"/>
    <cellStyle name="Currency 3 2 3 5 4" xfId="10101" xr:uid="{F02B52A3-11F5-4E52-98EF-BDA7CDA0E1AC}"/>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8610CB03-CF37-44E8-8FBD-90E4DBFAECB0}"/>
    <cellStyle name="Currency 3 2 3 6 2 3" xfId="12659" xr:uid="{EC2323F3-304D-45DF-9093-721AFBEA3E33}"/>
    <cellStyle name="Currency 3 2 3 6 3" xfId="6290" xr:uid="{00000000-0005-0000-0000-0000260B0000}"/>
    <cellStyle name="Currency 3 2 3 6 3 2" xfId="14732" xr:uid="{7F04AA9E-445C-4A2F-8320-3794AA8CB28C}"/>
    <cellStyle name="Currency 3 2 3 6 4" xfId="10514" xr:uid="{B6F5EFF0-BE54-48E6-96AC-2F8610473872}"/>
    <cellStyle name="Currency 3 2 3 7" xfId="2418" xr:uid="{00000000-0005-0000-0000-0000270B0000}"/>
    <cellStyle name="Currency 3 2 3 7 2" xfId="6703" xr:uid="{00000000-0005-0000-0000-0000280B0000}"/>
    <cellStyle name="Currency 3 2 3 7 2 2" xfId="15145" xr:uid="{4E0CED81-EA65-43DB-8620-F00771AC3518}"/>
    <cellStyle name="Currency 3 2 3 7 3" xfId="10927" xr:uid="{EE461B1A-EAF5-41C7-92D6-C4ED0116BAE5}"/>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53056EA4-9457-4FFD-B974-779B66C43250}"/>
    <cellStyle name="Currency 3 2 3 9 3" xfId="11244" xr:uid="{98DB74A6-3CB9-4F52-AECF-A1B8FC0F9104}"/>
    <cellStyle name="Currency 3 2 4" xfId="184" xr:uid="{00000000-0005-0000-0000-00002C0B0000}"/>
    <cellStyle name="Currency 3 2 4 10" xfId="8863" xr:uid="{937602FE-8E77-4E34-965D-43219881B10F}"/>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BFF3B22C-623C-41BE-94E5-671FBE529C4C}"/>
    <cellStyle name="Currency 3 2 4 2 2 3" xfId="11422" xr:uid="{128ABA0E-2E4F-4BD3-B519-FBD9456B0D89}"/>
    <cellStyle name="Currency 3 2 4 2 3" xfId="5053" xr:uid="{00000000-0005-0000-0000-0000300B0000}"/>
    <cellStyle name="Currency 3 2 4 2 3 2" xfId="13495" xr:uid="{9B2DFE43-1310-4B59-969F-702FCD70F736}"/>
    <cellStyle name="Currency 3 2 4 2 4" xfId="9277" xr:uid="{E265D11A-872B-4FFE-921C-95A5AF7C0EA5}"/>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9A4700E5-8E75-4A39-973C-4BDF57261D4A}"/>
    <cellStyle name="Currency 3 2 4 3 2 3" xfId="11835" xr:uid="{630DED4D-846F-434B-A442-FF8DCC75DDAB}"/>
    <cellStyle name="Currency 3 2 4 3 3" xfId="5466" xr:uid="{00000000-0005-0000-0000-0000340B0000}"/>
    <cellStyle name="Currency 3 2 4 3 3 2" xfId="13908" xr:uid="{B19321CF-91DA-4C38-8DBA-91B5ABC8591B}"/>
    <cellStyle name="Currency 3 2 4 3 4" xfId="9690" xr:uid="{3D000162-85E7-45BB-93D1-9175D2068B6D}"/>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072750B7-0F77-4AD8-AF65-D973D0B01D50}"/>
    <cellStyle name="Currency 3 2 4 4 2 3" xfId="12248" xr:uid="{89944D73-FA44-41B1-BF71-F350A72DCA64}"/>
    <cellStyle name="Currency 3 2 4 4 3" xfId="5879" xr:uid="{00000000-0005-0000-0000-0000380B0000}"/>
    <cellStyle name="Currency 3 2 4 4 3 2" xfId="14321" xr:uid="{5C5C5B6C-E9D5-414C-A61A-245322C6F2B2}"/>
    <cellStyle name="Currency 3 2 4 4 4" xfId="10103" xr:uid="{406BB22F-CA11-4136-9A1B-10C1930779E0}"/>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D7BCC81C-F595-4B65-8020-F5D53F9428C1}"/>
    <cellStyle name="Currency 3 2 4 5 2 3" xfId="12661" xr:uid="{BA255B65-FE70-4DD4-9561-C2A7CD443A32}"/>
    <cellStyle name="Currency 3 2 4 5 3" xfId="6292" xr:uid="{00000000-0005-0000-0000-00003C0B0000}"/>
    <cellStyle name="Currency 3 2 4 5 3 2" xfId="14734" xr:uid="{8323D7D1-E798-4834-ADD4-E58439372A9D}"/>
    <cellStyle name="Currency 3 2 4 5 4" xfId="10516" xr:uid="{272110DA-F232-49D6-AC9A-B9188A083AE9}"/>
    <cellStyle name="Currency 3 2 4 6" xfId="2420" xr:uid="{00000000-0005-0000-0000-00003D0B0000}"/>
    <cellStyle name="Currency 3 2 4 6 2" xfId="6705" xr:uid="{00000000-0005-0000-0000-00003E0B0000}"/>
    <cellStyle name="Currency 3 2 4 6 2 2" xfId="15147" xr:uid="{593F7E53-C627-477D-BF6A-945816FA6590}"/>
    <cellStyle name="Currency 3 2 4 6 3" xfId="10929" xr:uid="{CCB58759-8252-4469-AD8B-B58582AF2399}"/>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394A717F-1794-456A-A4CF-8D3EFF716C73}"/>
    <cellStyle name="Currency 3 2 4 8 3" xfId="11246" xr:uid="{6DBC0ED3-E47D-4209-A462-2143A725CD0C}"/>
    <cellStyle name="Currency 3 2 4 9" xfId="4639" xr:uid="{00000000-0005-0000-0000-0000420B0000}"/>
    <cellStyle name="Currency 3 2 4 9 2" xfId="13081" xr:uid="{C2FB853C-7574-466A-B10C-DD8CEBCDDA83}"/>
    <cellStyle name="Currency 3 2 5" xfId="185" xr:uid="{00000000-0005-0000-0000-0000430B0000}"/>
    <cellStyle name="Currency 3 2 5 10" xfId="8864" xr:uid="{318767FB-94AA-4C1A-B37A-8994666812F9}"/>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6E9DD9C5-C0DD-4FBE-81B7-3BBB69CC8C85}"/>
    <cellStyle name="Currency 3 2 5 2 2 3" xfId="11423" xr:uid="{ED5465A0-5C51-40C3-98B7-500D5FF695E6}"/>
    <cellStyle name="Currency 3 2 5 2 3" xfId="5054" xr:uid="{00000000-0005-0000-0000-0000470B0000}"/>
    <cellStyle name="Currency 3 2 5 2 3 2" xfId="13496" xr:uid="{1EA9570B-3984-4B86-A538-279F84F44AB2}"/>
    <cellStyle name="Currency 3 2 5 2 4" xfId="9278" xr:uid="{B77C3E7F-21E8-4218-9024-EDD8E9DD0024}"/>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508DE5C5-2D4B-49B6-ACC0-E00369D031DF}"/>
    <cellStyle name="Currency 3 2 5 3 2 3" xfId="11836" xr:uid="{4C5A3644-4F36-4493-930F-EC567CB297DF}"/>
    <cellStyle name="Currency 3 2 5 3 3" xfId="5467" xr:uid="{00000000-0005-0000-0000-00004B0B0000}"/>
    <cellStyle name="Currency 3 2 5 3 3 2" xfId="13909" xr:uid="{A0030CE2-56FC-41A7-8DA5-4E8429B6E82F}"/>
    <cellStyle name="Currency 3 2 5 3 4" xfId="9691" xr:uid="{689C92EE-A183-4F54-843E-02AEC4CB25F9}"/>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757C6CD0-CCDF-4238-95F4-8DCFCB1B30BD}"/>
    <cellStyle name="Currency 3 2 5 4 2 3" xfId="12249" xr:uid="{BC2186E6-357B-43A6-A7E1-40BBC93379A1}"/>
    <cellStyle name="Currency 3 2 5 4 3" xfId="5880" xr:uid="{00000000-0005-0000-0000-00004F0B0000}"/>
    <cellStyle name="Currency 3 2 5 4 3 2" xfId="14322" xr:uid="{5A9B1B63-B80A-4C40-B930-85B7BB157116}"/>
    <cellStyle name="Currency 3 2 5 4 4" xfId="10104" xr:uid="{847B417B-7E7F-41B6-B13D-FC640F7DB9C4}"/>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8EEAEF6C-D371-487C-AA68-6B6D75735703}"/>
    <cellStyle name="Currency 3 2 5 5 2 3" xfId="12662" xr:uid="{7CAA74DA-58C2-4814-8EB3-3150295A3448}"/>
    <cellStyle name="Currency 3 2 5 5 3" xfId="6293" xr:uid="{00000000-0005-0000-0000-0000530B0000}"/>
    <cellStyle name="Currency 3 2 5 5 3 2" xfId="14735" xr:uid="{EFC4618A-5604-41DF-AADC-1335645BB4E2}"/>
    <cellStyle name="Currency 3 2 5 5 4" xfId="10517" xr:uid="{C7FCD6A3-CA1B-471A-B54B-3E946A880C6F}"/>
    <cellStyle name="Currency 3 2 5 6" xfId="2421" xr:uid="{00000000-0005-0000-0000-0000540B0000}"/>
    <cellStyle name="Currency 3 2 5 6 2" xfId="6706" xr:uid="{00000000-0005-0000-0000-0000550B0000}"/>
    <cellStyle name="Currency 3 2 5 6 2 2" xfId="15148" xr:uid="{699611B8-EE00-4846-BF9E-9F64CE20430A}"/>
    <cellStyle name="Currency 3 2 5 6 3" xfId="10930" xr:uid="{5A3EA32B-40F4-4B06-BD6B-1B6FE38EC59C}"/>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1A723830-9D68-4E5A-B074-8F58C50FF88D}"/>
    <cellStyle name="Currency 3 2 5 8 3" xfId="11247" xr:uid="{356A2105-D41F-4BCC-8B95-3D92BAE23DA8}"/>
    <cellStyle name="Currency 3 2 5 9" xfId="4640" xr:uid="{00000000-0005-0000-0000-0000590B0000}"/>
    <cellStyle name="Currency 3 2 5 9 2" xfId="13082" xr:uid="{E6EC2C97-C4FF-4FAE-8977-294B9BFB8C44}"/>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5D32750F-0AFF-408F-8B4D-2185D2E4B15A}"/>
    <cellStyle name="Currency 5 2 2 2 10 3" xfId="11248" xr:uid="{22CC8F1C-29F7-492B-BC37-7DA30885282E}"/>
    <cellStyle name="Currency 5 2 2 2 11" xfId="4641" xr:uid="{00000000-0005-0000-0000-00006C0B0000}"/>
    <cellStyle name="Currency 5 2 2 2 11 2" xfId="13083" xr:uid="{05398A18-9CA8-4DA7-953E-3297D07A33B0}"/>
    <cellStyle name="Currency 5 2 2 2 12" xfId="8865" xr:uid="{35D89612-ABF8-4884-B37A-DB6FE28E3110}"/>
    <cellStyle name="Currency 5 2 2 2 2" xfId="197" xr:uid="{00000000-0005-0000-0000-00006D0B0000}"/>
    <cellStyle name="Currency 5 2 2 2 2 10" xfId="4642" xr:uid="{00000000-0005-0000-0000-00006E0B0000}"/>
    <cellStyle name="Currency 5 2 2 2 2 10 2" xfId="13084" xr:uid="{59F833A4-A8BC-4367-BC91-0D5DBD35A8FB}"/>
    <cellStyle name="Currency 5 2 2 2 2 11" xfId="8866" xr:uid="{8FCF0835-3283-4ECC-87DF-001B87D8889C}"/>
    <cellStyle name="Currency 5 2 2 2 2 2" xfId="198" xr:uid="{00000000-0005-0000-0000-00006F0B0000}"/>
    <cellStyle name="Currency 5 2 2 2 2 2 10" xfId="8867" xr:uid="{E289B51F-7ED2-4E82-B585-EF662B739B8E}"/>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DFF435DE-01FE-4DCC-A642-4C34352BCB98}"/>
    <cellStyle name="Currency 5 2 2 2 2 2 2 2 3" xfId="11426" xr:uid="{F90A9736-67C5-4C3C-8559-81DF397A6817}"/>
    <cellStyle name="Currency 5 2 2 2 2 2 2 3" xfId="5057" xr:uid="{00000000-0005-0000-0000-0000730B0000}"/>
    <cellStyle name="Currency 5 2 2 2 2 2 2 3 2" xfId="13499" xr:uid="{1842D0DC-ACD2-4F51-8593-B406D05705D4}"/>
    <cellStyle name="Currency 5 2 2 2 2 2 2 4" xfId="9281" xr:uid="{CC8FEB9F-54DC-4FB5-B9EF-C1B48E5C24DB}"/>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730EA7A6-A413-479E-A280-2A639FC71C1A}"/>
    <cellStyle name="Currency 5 2 2 2 2 2 3 2 3" xfId="11839" xr:uid="{B5ABC2E4-7ED7-4A89-85EC-A443B2F68659}"/>
    <cellStyle name="Currency 5 2 2 2 2 2 3 3" xfId="5470" xr:uid="{00000000-0005-0000-0000-0000770B0000}"/>
    <cellStyle name="Currency 5 2 2 2 2 2 3 3 2" xfId="13912" xr:uid="{B64C0FC9-5A35-4EFF-8645-99B2DEF606F8}"/>
    <cellStyle name="Currency 5 2 2 2 2 2 3 4" xfId="9694" xr:uid="{A94F7E4D-2F35-4AF2-BAC7-A3549F0D0D4F}"/>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4CBBE907-D66C-4E91-B4D7-CC8311CDC31D}"/>
    <cellStyle name="Currency 5 2 2 2 2 2 4 2 3" xfId="12252" xr:uid="{5849B12E-827F-4611-882F-ADE10C0DECFA}"/>
    <cellStyle name="Currency 5 2 2 2 2 2 4 3" xfId="5883" xr:uid="{00000000-0005-0000-0000-00007B0B0000}"/>
    <cellStyle name="Currency 5 2 2 2 2 2 4 3 2" xfId="14325" xr:uid="{E8CA76A1-EC62-4DBE-BA42-CA46F23ADB67}"/>
    <cellStyle name="Currency 5 2 2 2 2 2 4 4" xfId="10107" xr:uid="{2FD7FBD0-5E8F-46CA-9383-4687D8669DF1}"/>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91BD946E-098C-4E27-95F9-CB8FC9D29033}"/>
    <cellStyle name="Currency 5 2 2 2 2 2 5 2 3" xfId="12665" xr:uid="{81616A63-C905-4684-B396-F43C331E54D2}"/>
    <cellStyle name="Currency 5 2 2 2 2 2 5 3" xfId="6296" xr:uid="{00000000-0005-0000-0000-00007F0B0000}"/>
    <cellStyle name="Currency 5 2 2 2 2 2 5 3 2" xfId="14738" xr:uid="{3EEB1CEB-4AE8-406A-8CBC-7733DDBB7166}"/>
    <cellStyle name="Currency 5 2 2 2 2 2 5 4" xfId="10520" xr:uid="{2F7F6E29-A3EF-40F8-8019-D0D6D0D4B445}"/>
    <cellStyle name="Currency 5 2 2 2 2 2 6" xfId="2424" xr:uid="{00000000-0005-0000-0000-0000800B0000}"/>
    <cellStyle name="Currency 5 2 2 2 2 2 6 2" xfId="6709" xr:uid="{00000000-0005-0000-0000-0000810B0000}"/>
    <cellStyle name="Currency 5 2 2 2 2 2 6 2 2" xfId="15151" xr:uid="{10A77223-BF6F-4BDE-9EE2-9D98F3F3D66D}"/>
    <cellStyle name="Currency 5 2 2 2 2 2 6 3" xfId="10933" xr:uid="{1FB566D2-31EC-46E7-9716-053BB632BCA3}"/>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0920A774-642D-4D32-880B-D685706BBFB2}"/>
    <cellStyle name="Currency 5 2 2 2 2 2 8 3" xfId="11250" xr:uid="{6483F29F-A668-4AE7-A9D8-5776706BEBAE}"/>
    <cellStyle name="Currency 5 2 2 2 2 2 9" xfId="4643" xr:uid="{00000000-0005-0000-0000-0000850B0000}"/>
    <cellStyle name="Currency 5 2 2 2 2 2 9 2" xfId="13085" xr:uid="{186A924E-4E4D-45D0-9FAC-1EF462967ECD}"/>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7FBDC664-BCF8-4E42-8624-0946B58AF28C}"/>
    <cellStyle name="Currency 5 2 2 2 2 3 2 3" xfId="11425" xr:uid="{FAC1B7C8-8288-4D09-9B13-15CC576A7D4E}"/>
    <cellStyle name="Currency 5 2 2 2 2 3 3" xfId="5056" xr:uid="{00000000-0005-0000-0000-0000890B0000}"/>
    <cellStyle name="Currency 5 2 2 2 2 3 3 2" xfId="13498" xr:uid="{99AA9E86-09FE-49EC-9E89-527E37237B11}"/>
    <cellStyle name="Currency 5 2 2 2 2 3 4" xfId="9280" xr:uid="{0F9ECC7C-6BE1-4328-BBEE-74369A45CDC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D4C96902-868B-4D5E-A926-1FEE9AE6A30A}"/>
    <cellStyle name="Currency 5 2 2 2 2 4 2 3" xfId="11838" xr:uid="{64DC60F5-060D-4D8E-B823-806E42C16313}"/>
    <cellStyle name="Currency 5 2 2 2 2 4 3" xfId="5469" xr:uid="{00000000-0005-0000-0000-00008D0B0000}"/>
    <cellStyle name="Currency 5 2 2 2 2 4 3 2" xfId="13911" xr:uid="{C1F6511E-6195-4011-97FD-4893D7B46C2E}"/>
    <cellStyle name="Currency 5 2 2 2 2 4 4" xfId="9693" xr:uid="{0B40A190-13F0-49BE-AF6A-5A409A50DC6D}"/>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E1920070-D80E-46AE-ADD1-B89551552BEE}"/>
    <cellStyle name="Currency 5 2 2 2 2 5 2 3" xfId="12251" xr:uid="{12D0A2A7-69AF-4AFA-B6E7-C30B2D00996E}"/>
    <cellStyle name="Currency 5 2 2 2 2 5 3" xfId="5882" xr:uid="{00000000-0005-0000-0000-0000910B0000}"/>
    <cellStyle name="Currency 5 2 2 2 2 5 3 2" xfId="14324" xr:uid="{6DE4D2EC-CE17-4647-A521-FFD96883E9BA}"/>
    <cellStyle name="Currency 5 2 2 2 2 5 4" xfId="10106" xr:uid="{CC6C80D4-8533-4517-856D-8C6ACB248A1B}"/>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A56B4D46-341E-4AB6-A2C4-A3B6FE9E705E}"/>
    <cellStyle name="Currency 5 2 2 2 2 6 2 3" xfId="12664" xr:uid="{6A6E0AF1-7D5F-4548-AEAA-29DAF558BEAB}"/>
    <cellStyle name="Currency 5 2 2 2 2 6 3" xfId="6295" xr:uid="{00000000-0005-0000-0000-0000950B0000}"/>
    <cellStyle name="Currency 5 2 2 2 2 6 3 2" xfId="14737" xr:uid="{19C571C8-1971-41AE-B1DC-79B93BAAF81B}"/>
    <cellStyle name="Currency 5 2 2 2 2 6 4" xfId="10519" xr:uid="{527C8F51-0EB5-4A1B-83DA-B044BD182811}"/>
    <cellStyle name="Currency 5 2 2 2 2 7" xfId="2423" xr:uid="{00000000-0005-0000-0000-0000960B0000}"/>
    <cellStyle name="Currency 5 2 2 2 2 7 2" xfId="6708" xr:uid="{00000000-0005-0000-0000-0000970B0000}"/>
    <cellStyle name="Currency 5 2 2 2 2 7 2 2" xfId="15150" xr:uid="{B2AC8BB3-EC9D-4CA1-8CEC-622538E86746}"/>
    <cellStyle name="Currency 5 2 2 2 2 7 3" xfId="10932" xr:uid="{0DDED0C8-0AED-4915-A784-2E35C8143162}"/>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320955C1-0A68-445E-8897-28049DACBF4B}"/>
    <cellStyle name="Currency 5 2 2 2 2 9 3" xfId="11249" xr:uid="{A5E5A47F-612E-4CDC-9F6E-6DBD8014551C}"/>
    <cellStyle name="Currency 5 2 2 2 3" xfId="199" xr:uid="{00000000-0005-0000-0000-00009B0B0000}"/>
    <cellStyle name="Currency 5 2 2 2 3 10" xfId="8868" xr:uid="{4F7A14DE-EF68-49FD-8A32-4D6FACDA47DD}"/>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3D3407D8-8E6D-4459-B257-1376E0BF50B1}"/>
    <cellStyle name="Currency 5 2 2 2 3 2 2 3" xfId="11427" xr:uid="{BDE1F859-9C5E-49C2-8AA3-8AC0512FCC44}"/>
    <cellStyle name="Currency 5 2 2 2 3 2 3" xfId="5058" xr:uid="{00000000-0005-0000-0000-00009F0B0000}"/>
    <cellStyle name="Currency 5 2 2 2 3 2 3 2" xfId="13500" xr:uid="{FB59EFF3-60F8-4752-9457-84EE12B25E93}"/>
    <cellStyle name="Currency 5 2 2 2 3 2 4" xfId="9282" xr:uid="{2FD60A9F-5A92-4F50-810E-F3CCDA012B38}"/>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689DA171-6F9E-4D6B-A075-0714B8690EA5}"/>
    <cellStyle name="Currency 5 2 2 2 3 3 2 3" xfId="11840" xr:uid="{A8656B65-72BA-467F-97EB-0D26E9038612}"/>
    <cellStyle name="Currency 5 2 2 2 3 3 3" xfId="5471" xr:uid="{00000000-0005-0000-0000-0000A30B0000}"/>
    <cellStyle name="Currency 5 2 2 2 3 3 3 2" xfId="13913" xr:uid="{E47082E5-6517-4960-8627-6213AB594520}"/>
    <cellStyle name="Currency 5 2 2 2 3 3 4" xfId="9695" xr:uid="{B1630BAE-28D2-4F73-B17A-0B838593F075}"/>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5C0C0240-E4D0-4C05-A79B-A9C567979A6F}"/>
    <cellStyle name="Currency 5 2 2 2 3 4 2 3" xfId="12253" xr:uid="{33543436-989B-434B-8F8C-6DCF731ADAD3}"/>
    <cellStyle name="Currency 5 2 2 2 3 4 3" xfId="5884" xr:uid="{00000000-0005-0000-0000-0000A70B0000}"/>
    <cellStyle name="Currency 5 2 2 2 3 4 3 2" xfId="14326" xr:uid="{81F0D0D4-2FB4-4EBB-B85B-ABA28E68E4F0}"/>
    <cellStyle name="Currency 5 2 2 2 3 4 4" xfId="10108" xr:uid="{0142E7DC-4259-45A3-92C9-E5D52B454BC5}"/>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2FB590B4-535B-4E42-BEE4-2CC650F9A77F}"/>
    <cellStyle name="Currency 5 2 2 2 3 5 2 3" xfId="12666" xr:uid="{7C8A99D1-064B-4C99-8A91-33632ED9883D}"/>
    <cellStyle name="Currency 5 2 2 2 3 5 3" xfId="6297" xr:uid="{00000000-0005-0000-0000-0000AB0B0000}"/>
    <cellStyle name="Currency 5 2 2 2 3 5 3 2" xfId="14739" xr:uid="{A0621D35-791F-45E5-ACF6-607604A5BBE1}"/>
    <cellStyle name="Currency 5 2 2 2 3 5 4" xfId="10521" xr:uid="{0238D793-E596-436F-A215-556DADF50887}"/>
    <cellStyle name="Currency 5 2 2 2 3 6" xfId="2425" xr:uid="{00000000-0005-0000-0000-0000AC0B0000}"/>
    <cellStyle name="Currency 5 2 2 2 3 6 2" xfId="6710" xr:uid="{00000000-0005-0000-0000-0000AD0B0000}"/>
    <cellStyle name="Currency 5 2 2 2 3 6 2 2" xfId="15152" xr:uid="{549BE21B-5C51-471D-8863-1E3984245740}"/>
    <cellStyle name="Currency 5 2 2 2 3 6 3" xfId="10934" xr:uid="{BA26AE0F-89EE-4DF3-89B0-B617BDB9D239}"/>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E12830B6-7DDF-4B7F-98D3-109DF5F9D098}"/>
    <cellStyle name="Currency 5 2 2 2 3 8 3" xfId="11251" xr:uid="{EC7CB0DD-AC1A-4771-9FB8-A0BCE1BDB9D7}"/>
    <cellStyle name="Currency 5 2 2 2 3 9" xfId="4644" xr:uid="{00000000-0005-0000-0000-0000B10B0000}"/>
    <cellStyle name="Currency 5 2 2 2 3 9 2" xfId="13086" xr:uid="{5E81F2A5-5B34-421E-B22F-6152BC039874}"/>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8A6725AF-B003-49D8-A43C-2793D3C9A60E}"/>
    <cellStyle name="Currency 5 2 2 2 4 2 3" xfId="11424" xr:uid="{A6D4B403-C8B6-40B4-BEFB-63FA4762F112}"/>
    <cellStyle name="Currency 5 2 2 2 4 3" xfId="5055" xr:uid="{00000000-0005-0000-0000-0000B50B0000}"/>
    <cellStyle name="Currency 5 2 2 2 4 3 2" xfId="13497" xr:uid="{E3CFD1DB-25AD-4C71-9259-ACD846FF9CEB}"/>
    <cellStyle name="Currency 5 2 2 2 4 4" xfId="9279" xr:uid="{36211339-5073-4F8B-8D87-136899AB18F5}"/>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BA7FB921-56C7-4D22-B273-D3971F8BCDBB}"/>
    <cellStyle name="Currency 5 2 2 2 5 2 3" xfId="11837" xr:uid="{3FD0F065-A419-44F9-8801-43F8CA0865A2}"/>
    <cellStyle name="Currency 5 2 2 2 5 3" xfId="5468" xr:uid="{00000000-0005-0000-0000-0000B90B0000}"/>
    <cellStyle name="Currency 5 2 2 2 5 3 2" xfId="13910" xr:uid="{0D060D16-3CBA-4456-A143-7B2C81FEBC11}"/>
    <cellStyle name="Currency 5 2 2 2 5 4" xfId="9692" xr:uid="{E0B8A1D4-25FA-48B3-A36D-440101687119}"/>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158A77B7-96E7-467F-AF80-97A43838E1AF}"/>
    <cellStyle name="Currency 5 2 2 2 6 2 3" xfId="12250" xr:uid="{76D66BC0-835C-488C-9EAD-1D05FE23E2B7}"/>
    <cellStyle name="Currency 5 2 2 2 6 3" xfId="5881" xr:uid="{00000000-0005-0000-0000-0000BD0B0000}"/>
    <cellStyle name="Currency 5 2 2 2 6 3 2" xfId="14323" xr:uid="{1B55A159-86C0-48C1-B3DB-8EC408D93C8F}"/>
    <cellStyle name="Currency 5 2 2 2 6 4" xfId="10105" xr:uid="{91DAF927-D557-4AF9-9381-9119BF7180E1}"/>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42A36AB6-9711-48F2-8DE8-427E4806A06E}"/>
    <cellStyle name="Currency 5 2 2 2 7 2 3" xfId="12663" xr:uid="{A6092E67-0BDB-47F9-A2F7-4A66248B130A}"/>
    <cellStyle name="Currency 5 2 2 2 7 3" xfId="6294" xr:uid="{00000000-0005-0000-0000-0000C10B0000}"/>
    <cellStyle name="Currency 5 2 2 2 7 3 2" xfId="14736" xr:uid="{AC3C8D00-5181-4EA1-91D1-BA495DE88BDC}"/>
    <cellStyle name="Currency 5 2 2 2 7 4" xfId="10518" xr:uid="{98BA32DC-1CB0-463D-A497-6F681F05B1C1}"/>
    <cellStyle name="Currency 5 2 2 2 8" xfId="2422" xr:uid="{00000000-0005-0000-0000-0000C20B0000}"/>
    <cellStyle name="Currency 5 2 2 2 8 2" xfId="6707" xr:uid="{00000000-0005-0000-0000-0000C30B0000}"/>
    <cellStyle name="Currency 5 2 2 2 8 2 2" xfId="15149" xr:uid="{F8A94FF0-6009-4172-90B2-76F892519DBA}"/>
    <cellStyle name="Currency 5 2 2 2 8 3" xfId="10931" xr:uid="{3CCB4F46-4CA3-41CD-A2F4-1EA5704F66FA}"/>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549E2871-642E-4272-97EC-064B493353E2}"/>
    <cellStyle name="Currency 5 2 2 3 11" xfId="8869" xr:uid="{C4ABC333-EC5E-4CE5-9FA6-373BDA99B0D8}"/>
    <cellStyle name="Currency 5 2 2 3 2" xfId="201" xr:uid="{00000000-0005-0000-0000-0000C70B0000}"/>
    <cellStyle name="Currency 5 2 2 3 2 10" xfId="8870" xr:uid="{2CD6904F-7421-434D-8ECE-2BBF476A3BB5}"/>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2D0CB69B-F485-4DDB-ACC1-AF147055F74D}"/>
    <cellStyle name="Currency 5 2 2 3 2 2 2 3" xfId="11429" xr:uid="{CA95815F-BFC3-4664-BA1B-B16232DBB7C3}"/>
    <cellStyle name="Currency 5 2 2 3 2 2 3" xfId="5060" xr:uid="{00000000-0005-0000-0000-0000CB0B0000}"/>
    <cellStyle name="Currency 5 2 2 3 2 2 3 2" xfId="13502" xr:uid="{C9C9701F-12AF-4958-A9E3-902CE283B2CB}"/>
    <cellStyle name="Currency 5 2 2 3 2 2 4" xfId="9284" xr:uid="{F04E68E3-0495-46BA-8FC8-41AA514E9C6E}"/>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A201AE7A-9D06-4506-BFCF-05E71979A1DB}"/>
    <cellStyle name="Currency 5 2 2 3 2 3 2 3" xfId="11842" xr:uid="{8E63F923-3012-4BDB-ACD3-7F2844154F70}"/>
    <cellStyle name="Currency 5 2 2 3 2 3 3" xfId="5473" xr:uid="{00000000-0005-0000-0000-0000CF0B0000}"/>
    <cellStyle name="Currency 5 2 2 3 2 3 3 2" xfId="13915" xr:uid="{8AECD66D-0FF5-4516-88F4-1B257302F812}"/>
    <cellStyle name="Currency 5 2 2 3 2 3 4" xfId="9697" xr:uid="{4DD5D6F3-AA96-42C8-AFF0-F56F2A57483E}"/>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2975FC37-7E2E-4783-8E3A-74651E514BF2}"/>
    <cellStyle name="Currency 5 2 2 3 2 4 2 3" xfId="12255" xr:uid="{D56AF927-4F9E-43B2-A66F-08A4BDA5E92F}"/>
    <cellStyle name="Currency 5 2 2 3 2 4 3" xfId="5886" xr:uid="{00000000-0005-0000-0000-0000D30B0000}"/>
    <cellStyle name="Currency 5 2 2 3 2 4 3 2" xfId="14328" xr:uid="{8D4B9A03-0929-4624-ADFB-41524048417C}"/>
    <cellStyle name="Currency 5 2 2 3 2 4 4" xfId="10110" xr:uid="{9577EC02-4E0E-49F0-A354-DBFE024A5E18}"/>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9F6D27A5-9125-45F2-BCB0-FD02D41E0E4C}"/>
    <cellStyle name="Currency 5 2 2 3 2 5 2 3" xfId="12668" xr:uid="{C620B40F-911E-4E6C-A01B-C81802ACC16B}"/>
    <cellStyle name="Currency 5 2 2 3 2 5 3" xfId="6299" xr:uid="{00000000-0005-0000-0000-0000D70B0000}"/>
    <cellStyle name="Currency 5 2 2 3 2 5 3 2" xfId="14741" xr:uid="{351B6699-9FF9-4569-B107-5E6DBC27E024}"/>
    <cellStyle name="Currency 5 2 2 3 2 5 4" xfId="10523" xr:uid="{C4606BBC-7497-429B-8C55-2AF68069F5B3}"/>
    <cellStyle name="Currency 5 2 2 3 2 6" xfId="2427" xr:uid="{00000000-0005-0000-0000-0000D80B0000}"/>
    <cellStyle name="Currency 5 2 2 3 2 6 2" xfId="6712" xr:uid="{00000000-0005-0000-0000-0000D90B0000}"/>
    <cellStyle name="Currency 5 2 2 3 2 6 2 2" xfId="15154" xr:uid="{42D935CB-C11D-4707-82F6-8E742B1152D5}"/>
    <cellStyle name="Currency 5 2 2 3 2 6 3" xfId="10936" xr:uid="{36CE73DA-6FDE-4FAE-9077-E19FC480F4D3}"/>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3495D61C-8F2E-43F1-9A31-F5A7E97D9E5D}"/>
    <cellStyle name="Currency 5 2 2 3 2 8 3" xfId="11253" xr:uid="{156339A4-BEE0-48EA-9EC9-53C0642F159B}"/>
    <cellStyle name="Currency 5 2 2 3 2 9" xfId="4646" xr:uid="{00000000-0005-0000-0000-0000DD0B0000}"/>
    <cellStyle name="Currency 5 2 2 3 2 9 2" xfId="13088" xr:uid="{7A190ABD-4D0A-451E-8539-02324E51E1CE}"/>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ABC769DD-051E-4BC2-8C92-C63D2747BAD9}"/>
    <cellStyle name="Currency 5 2 2 3 3 2 3" xfId="11428" xr:uid="{8F22A58D-6ACF-42D1-8CE9-EBEC9C08227C}"/>
    <cellStyle name="Currency 5 2 2 3 3 3" xfId="5059" xr:uid="{00000000-0005-0000-0000-0000E10B0000}"/>
    <cellStyle name="Currency 5 2 2 3 3 3 2" xfId="13501" xr:uid="{B86BDA03-2B9F-4F5E-95A8-6E0ADF1DF9D7}"/>
    <cellStyle name="Currency 5 2 2 3 3 4" xfId="9283" xr:uid="{1DE99A74-CD74-47E7-BE88-47A5BCBD9714}"/>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A7FD2B03-EF60-45A9-8BEA-450286E734F9}"/>
    <cellStyle name="Currency 5 2 2 3 4 2 3" xfId="11841" xr:uid="{B8FDDA87-BB27-472D-B645-8F925663C43F}"/>
    <cellStyle name="Currency 5 2 2 3 4 3" xfId="5472" xr:uid="{00000000-0005-0000-0000-0000E50B0000}"/>
    <cellStyle name="Currency 5 2 2 3 4 3 2" xfId="13914" xr:uid="{8D2184D8-C7FE-47AB-83FA-D7CA2366D313}"/>
    <cellStyle name="Currency 5 2 2 3 4 4" xfId="9696" xr:uid="{D244133C-A576-4832-8D95-803547969B7A}"/>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EC2C5639-28B3-4A53-A2CF-0806BDB80CC1}"/>
    <cellStyle name="Currency 5 2 2 3 5 2 3" xfId="12254" xr:uid="{0E19F04D-96BA-48E8-9AEA-AF2B7E356205}"/>
    <cellStyle name="Currency 5 2 2 3 5 3" xfId="5885" xr:uid="{00000000-0005-0000-0000-0000E90B0000}"/>
    <cellStyle name="Currency 5 2 2 3 5 3 2" xfId="14327" xr:uid="{B7F7972B-152E-49AB-AEE8-0B16BEE27FB6}"/>
    <cellStyle name="Currency 5 2 2 3 5 4" xfId="10109" xr:uid="{428BC72E-6622-48A7-8E19-04ABC7E8FC6C}"/>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A753E0D9-B865-42C0-BBE0-0526511DCE91}"/>
    <cellStyle name="Currency 5 2 2 3 6 2 3" xfId="12667" xr:uid="{FE7C9EA1-CCF8-43F8-B1CD-9A0F4919BBCF}"/>
    <cellStyle name="Currency 5 2 2 3 6 3" xfId="6298" xr:uid="{00000000-0005-0000-0000-0000ED0B0000}"/>
    <cellStyle name="Currency 5 2 2 3 6 3 2" xfId="14740" xr:uid="{D95BE643-31F6-4B0A-9D93-F2BBB91A72CF}"/>
    <cellStyle name="Currency 5 2 2 3 6 4" xfId="10522" xr:uid="{970BC983-22D1-4A5D-824C-63141CAE63CF}"/>
    <cellStyle name="Currency 5 2 2 3 7" xfId="2426" xr:uid="{00000000-0005-0000-0000-0000EE0B0000}"/>
    <cellStyle name="Currency 5 2 2 3 7 2" xfId="6711" xr:uid="{00000000-0005-0000-0000-0000EF0B0000}"/>
    <cellStyle name="Currency 5 2 2 3 7 2 2" xfId="15153" xr:uid="{AF03C394-361F-4BAD-8445-D4FAF37D7CE6}"/>
    <cellStyle name="Currency 5 2 2 3 7 3" xfId="10935" xr:uid="{40D24847-CADA-4B00-BB32-A25D24BF8256}"/>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BABD37C6-5319-4E7D-930D-ACE8148A93E4}"/>
    <cellStyle name="Currency 5 2 2 3 9 3" xfId="11252" xr:uid="{073455DD-F4CF-419B-A288-1C083480F981}"/>
    <cellStyle name="Currency 5 2 2 4" xfId="202" xr:uid="{00000000-0005-0000-0000-0000F30B0000}"/>
    <cellStyle name="Currency 5 2 2 4 10" xfId="8871" xr:uid="{4E1F9520-62BC-49AF-9238-44ABC9B102D3}"/>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368D3D19-9F13-43B7-95A7-0E6F4A7296AC}"/>
    <cellStyle name="Currency 5 2 2 4 2 2 3" xfId="11430" xr:uid="{C0C0D720-7504-4203-A3AF-6E2B8B22E2BF}"/>
    <cellStyle name="Currency 5 2 2 4 2 3" xfId="5061" xr:uid="{00000000-0005-0000-0000-0000F70B0000}"/>
    <cellStyle name="Currency 5 2 2 4 2 3 2" xfId="13503" xr:uid="{14C7559A-D970-4E1C-8D61-4529E44C7119}"/>
    <cellStyle name="Currency 5 2 2 4 2 4" xfId="9285" xr:uid="{AB555C7C-371F-4DE1-9DA1-FE7C4606D893}"/>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2DCAB883-7199-4BF9-8B88-A95E1DF163B9}"/>
    <cellStyle name="Currency 5 2 2 4 3 2 3" xfId="11843" xr:uid="{1AD4E625-24DC-4C08-8B5E-3D2ABFE608E4}"/>
    <cellStyle name="Currency 5 2 2 4 3 3" xfId="5474" xr:uid="{00000000-0005-0000-0000-0000FB0B0000}"/>
    <cellStyle name="Currency 5 2 2 4 3 3 2" xfId="13916" xr:uid="{43288507-333D-4B74-AE41-073E497C5D1B}"/>
    <cellStyle name="Currency 5 2 2 4 3 4" xfId="9698" xr:uid="{5EA39091-59BE-4F13-B21A-25C110E1BC16}"/>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9FFED894-1B28-4E3D-B718-FCC631FF2C3A}"/>
    <cellStyle name="Currency 5 2 2 4 4 2 3" xfId="12256" xr:uid="{E514EEC5-ED2E-471B-A4ED-5FBB9EB1504B}"/>
    <cellStyle name="Currency 5 2 2 4 4 3" xfId="5887" xr:uid="{00000000-0005-0000-0000-0000FF0B0000}"/>
    <cellStyle name="Currency 5 2 2 4 4 3 2" xfId="14329" xr:uid="{EEB4A94A-A7AE-4DBD-9B1B-393C6F82EDB6}"/>
    <cellStyle name="Currency 5 2 2 4 4 4" xfId="10111" xr:uid="{B702F8D7-0C82-4F16-AF17-3F0FF1EF8635}"/>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69004309-9CF1-45DF-841A-BC51FCCFCDD4}"/>
    <cellStyle name="Currency 5 2 2 4 5 2 3" xfId="12669" xr:uid="{8625D793-AA1D-41D2-BB17-3EFDAA7292D9}"/>
    <cellStyle name="Currency 5 2 2 4 5 3" xfId="6300" xr:uid="{00000000-0005-0000-0000-0000030C0000}"/>
    <cellStyle name="Currency 5 2 2 4 5 3 2" xfId="14742" xr:uid="{C1278ED9-B1F6-48CB-8824-241F0E409DB6}"/>
    <cellStyle name="Currency 5 2 2 4 5 4" xfId="10524" xr:uid="{FB536503-BDED-452A-B06E-6B4965CD1B37}"/>
    <cellStyle name="Currency 5 2 2 4 6" xfId="2428" xr:uid="{00000000-0005-0000-0000-0000040C0000}"/>
    <cellStyle name="Currency 5 2 2 4 6 2" xfId="6713" xr:uid="{00000000-0005-0000-0000-0000050C0000}"/>
    <cellStyle name="Currency 5 2 2 4 6 2 2" xfId="15155" xr:uid="{5346C879-A75B-4712-A9ED-494E4EB7A0D3}"/>
    <cellStyle name="Currency 5 2 2 4 6 3" xfId="10937" xr:uid="{7BC33579-83E7-4D06-B6E5-285CA39FE398}"/>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1533F063-54B5-47F6-B7FE-2F6BE19BFDE1}"/>
    <cellStyle name="Currency 5 2 2 4 8 3" xfId="11254" xr:uid="{0B3D3789-DA83-4A83-A3B8-2557FFCB1429}"/>
    <cellStyle name="Currency 5 2 2 4 9" xfId="4647" xr:uid="{00000000-0005-0000-0000-0000090C0000}"/>
    <cellStyle name="Currency 5 2 2 4 9 2" xfId="13089" xr:uid="{1148C276-3A59-4B13-8193-D7E64B8C5B23}"/>
    <cellStyle name="Currency 5 2 2 5" xfId="203" xr:uid="{00000000-0005-0000-0000-00000A0C0000}"/>
    <cellStyle name="Currency 5 2 2 5 10" xfId="8872" xr:uid="{73E41086-537E-4104-9083-543467EF0ABF}"/>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396714DB-64B9-439C-9305-A9B61F99B4FB}"/>
    <cellStyle name="Currency 5 2 2 5 2 2 3" xfId="11431" xr:uid="{6F282BDE-70B5-4649-9307-8E3AC2DAA57F}"/>
    <cellStyle name="Currency 5 2 2 5 2 3" xfId="5062" xr:uid="{00000000-0005-0000-0000-00000E0C0000}"/>
    <cellStyle name="Currency 5 2 2 5 2 3 2" xfId="13504" xr:uid="{36D809AE-47B3-4E0D-9B4C-628A409EC4DB}"/>
    <cellStyle name="Currency 5 2 2 5 2 4" xfId="9286" xr:uid="{8ED71830-E54E-4F63-A20F-105E448EF7B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1DE4916F-0D7E-4CB9-B471-88706A446C22}"/>
    <cellStyle name="Currency 5 2 2 5 3 2 3" xfId="11844" xr:uid="{D8F3A1DC-CFC2-40E4-9D48-A39B8AAE8980}"/>
    <cellStyle name="Currency 5 2 2 5 3 3" xfId="5475" xr:uid="{00000000-0005-0000-0000-0000120C0000}"/>
    <cellStyle name="Currency 5 2 2 5 3 3 2" xfId="13917" xr:uid="{0E373EA1-7B35-45C9-BD3B-73F1A8A67876}"/>
    <cellStyle name="Currency 5 2 2 5 3 4" xfId="9699" xr:uid="{20D2F39A-D351-448B-805A-719AA5322FC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877A61F2-6383-4E6E-8DDC-0F5CD4AAF694}"/>
    <cellStyle name="Currency 5 2 2 5 4 2 3" xfId="12257" xr:uid="{F78C2739-A401-40DE-B96E-02CB130E0646}"/>
    <cellStyle name="Currency 5 2 2 5 4 3" xfId="5888" xr:uid="{00000000-0005-0000-0000-0000160C0000}"/>
    <cellStyle name="Currency 5 2 2 5 4 3 2" xfId="14330" xr:uid="{7952124A-A092-46F7-8375-1AD0BB71DDCB}"/>
    <cellStyle name="Currency 5 2 2 5 4 4" xfId="10112" xr:uid="{45CB877F-8AC5-468B-AEEB-C8D70B4C9A7F}"/>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9B3285E3-648D-4BF6-AC2C-D1211547D3F7}"/>
    <cellStyle name="Currency 5 2 2 5 5 2 3" xfId="12670" xr:uid="{ED5D3D94-FBD6-4C65-A764-E34C23209507}"/>
    <cellStyle name="Currency 5 2 2 5 5 3" xfId="6301" xr:uid="{00000000-0005-0000-0000-00001A0C0000}"/>
    <cellStyle name="Currency 5 2 2 5 5 3 2" xfId="14743" xr:uid="{15F2F182-3AB9-47BE-B7E4-5F91E3389DE8}"/>
    <cellStyle name="Currency 5 2 2 5 5 4" xfId="10525" xr:uid="{926DB4B9-E833-48BB-A602-B0B6A3929132}"/>
    <cellStyle name="Currency 5 2 2 5 6" xfId="2429" xr:uid="{00000000-0005-0000-0000-00001B0C0000}"/>
    <cellStyle name="Currency 5 2 2 5 6 2" xfId="6714" xr:uid="{00000000-0005-0000-0000-00001C0C0000}"/>
    <cellStyle name="Currency 5 2 2 5 6 2 2" xfId="15156" xr:uid="{62C9B464-CD78-4049-8575-A2C9B59D26B1}"/>
    <cellStyle name="Currency 5 2 2 5 6 3" xfId="10938" xr:uid="{D7DDE48F-1F45-4140-A427-B3E5B1FC4513}"/>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383F1993-D76B-4B73-9E6C-FDA5DB7D81E9}"/>
    <cellStyle name="Currency 5 2 2 5 8 3" xfId="11255" xr:uid="{06B63590-3EDB-4270-926D-89514F2F51D4}"/>
    <cellStyle name="Currency 5 2 2 5 9" xfId="4648" xr:uid="{00000000-0005-0000-0000-0000200C0000}"/>
    <cellStyle name="Currency 5 2 2 5 9 2" xfId="13090" xr:uid="{9323868C-C46D-467C-A72D-F8C476A41281}"/>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CA2A0A92-4B63-483A-BE1E-D8D364266124}"/>
    <cellStyle name="Currency 5 2 4 11" xfId="8873" xr:uid="{22501EA3-51DC-4478-8D76-D20123022F7E}"/>
    <cellStyle name="Currency 5 2 4 2" xfId="206" xr:uid="{00000000-0005-0000-0000-0000250C0000}"/>
    <cellStyle name="Currency 5 2 4 2 10" xfId="8874" xr:uid="{6C466348-1086-48CA-8169-940E2CF50B89}"/>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FC9D680A-386D-4282-AA96-E20BA0144470}"/>
    <cellStyle name="Currency 5 2 4 2 2 2 3" xfId="11433" xr:uid="{7CCAAF37-54F9-4E52-96A4-E9D93B252F58}"/>
    <cellStyle name="Currency 5 2 4 2 2 3" xfId="5064" xr:uid="{00000000-0005-0000-0000-0000290C0000}"/>
    <cellStyle name="Currency 5 2 4 2 2 3 2" xfId="13506" xr:uid="{7191E6C2-7925-4C3C-A480-31531A53D315}"/>
    <cellStyle name="Currency 5 2 4 2 2 4" xfId="9288" xr:uid="{C351AF38-F1EB-45EB-840D-DD4326E9BEF5}"/>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BB1424F6-4E30-473F-9112-66CFF0F7CC43}"/>
    <cellStyle name="Currency 5 2 4 2 3 2 3" xfId="11846" xr:uid="{2B0F7151-3DB0-4C0E-85BB-247A696D1F23}"/>
    <cellStyle name="Currency 5 2 4 2 3 3" xfId="5477" xr:uid="{00000000-0005-0000-0000-00002D0C0000}"/>
    <cellStyle name="Currency 5 2 4 2 3 3 2" xfId="13919" xr:uid="{F56B305C-9808-4B36-A055-656307DBC774}"/>
    <cellStyle name="Currency 5 2 4 2 3 4" xfId="9701" xr:uid="{77298D07-FA48-4809-A351-E00B8C4FDB1A}"/>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DD6F426D-A26F-418F-8F6B-B238C8BAC78C}"/>
    <cellStyle name="Currency 5 2 4 2 4 2 3" xfId="12259" xr:uid="{7336C70A-245C-43CA-A843-54D357980BBA}"/>
    <cellStyle name="Currency 5 2 4 2 4 3" xfId="5890" xr:uid="{00000000-0005-0000-0000-0000310C0000}"/>
    <cellStyle name="Currency 5 2 4 2 4 3 2" xfId="14332" xr:uid="{7D6613D3-AD14-4AAE-8EA1-DD7954EA5609}"/>
    <cellStyle name="Currency 5 2 4 2 4 4" xfId="10114" xr:uid="{56631A04-ED10-4A07-AC01-C7561F989283}"/>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22A9A91E-0A7A-4E28-99C0-A294614ADC86}"/>
    <cellStyle name="Currency 5 2 4 2 5 2 3" xfId="12672" xr:uid="{36917FC0-63D1-4DC5-8017-370CDF330D80}"/>
    <cellStyle name="Currency 5 2 4 2 5 3" xfId="6303" xr:uid="{00000000-0005-0000-0000-0000350C0000}"/>
    <cellStyle name="Currency 5 2 4 2 5 3 2" xfId="14745" xr:uid="{C1333D1F-2A57-4D2C-A400-A6A79775DF99}"/>
    <cellStyle name="Currency 5 2 4 2 5 4" xfId="10527" xr:uid="{9D52B89A-2681-4568-A67B-EDC18B5B9F2C}"/>
    <cellStyle name="Currency 5 2 4 2 6" xfId="2431" xr:uid="{00000000-0005-0000-0000-0000360C0000}"/>
    <cellStyle name="Currency 5 2 4 2 6 2" xfId="6716" xr:uid="{00000000-0005-0000-0000-0000370C0000}"/>
    <cellStyle name="Currency 5 2 4 2 6 2 2" xfId="15158" xr:uid="{0A864F52-8682-4BD0-8023-A0825BC4B333}"/>
    <cellStyle name="Currency 5 2 4 2 6 3" xfId="10940" xr:uid="{828BD439-E092-4C40-A9AD-441A4CA563B7}"/>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1E575273-A587-4124-B46F-B5012EDCD425}"/>
    <cellStyle name="Currency 5 2 4 2 8 3" xfId="11257" xr:uid="{700473EA-D902-48F4-BB8D-57C55B5027D1}"/>
    <cellStyle name="Currency 5 2 4 2 9" xfId="4650" xr:uid="{00000000-0005-0000-0000-00003B0C0000}"/>
    <cellStyle name="Currency 5 2 4 2 9 2" xfId="13092" xr:uid="{CB6C2FD1-0E8C-42C1-99CC-3161471D27B6}"/>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DA61CF29-DC8C-44DD-8167-8757C9B7775D}"/>
    <cellStyle name="Currency 5 2 4 3 2 3" xfId="11432" xr:uid="{E4C3B0A4-8CF7-496B-A392-A2ACC17F4C28}"/>
    <cellStyle name="Currency 5 2 4 3 3" xfId="5063" xr:uid="{00000000-0005-0000-0000-00003F0C0000}"/>
    <cellStyle name="Currency 5 2 4 3 3 2" xfId="13505" xr:uid="{7A61B749-97D7-46CD-9FA6-01EABEB98642}"/>
    <cellStyle name="Currency 5 2 4 3 4" xfId="9287" xr:uid="{292076E8-DA84-4B55-BF10-C4A1F2B06586}"/>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42CE799C-C9DE-470E-B1E6-E29662BD599C}"/>
    <cellStyle name="Currency 5 2 4 4 2 3" xfId="11845" xr:uid="{988A4C8B-470F-4C70-A977-D3CF0F25FB59}"/>
    <cellStyle name="Currency 5 2 4 4 3" xfId="5476" xr:uid="{00000000-0005-0000-0000-0000430C0000}"/>
    <cellStyle name="Currency 5 2 4 4 3 2" xfId="13918" xr:uid="{6186002B-6227-424F-A2D1-352A5011040B}"/>
    <cellStyle name="Currency 5 2 4 4 4" xfId="9700" xr:uid="{50AF03A5-77D0-484C-BD35-36EC2A5D613C}"/>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70221C6F-499D-448C-80D9-6554B16E7DF0}"/>
    <cellStyle name="Currency 5 2 4 5 2 3" xfId="12258" xr:uid="{8911FE7B-F636-428E-B872-BA984EFC6123}"/>
    <cellStyle name="Currency 5 2 4 5 3" xfId="5889" xr:uid="{00000000-0005-0000-0000-0000470C0000}"/>
    <cellStyle name="Currency 5 2 4 5 3 2" xfId="14331" xr:uid="{4C4B662C-AAF8-47BE-9A7E-3B9C6B70F9BC}"/>
    <cellStyle name="Currency 5 2 4 5 4" xfId="10113" xr:uid="{8BAB7CE6-0D6E-44EA-9A5B-D0FD2357158F}"/>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DE86BEB1-6CF3-413E-97FA-155E045BD43D}"/>
    <cellStyle name="Currency 5 2 4 6 2 3" xfId="12671" xr:uid="{EAD889CD-9518-467F-A419-D8DAC534288F}"/>
    <cellStyle name="Currency 5 2 4 6 3" xfId="6302" xr:uid="{00000000-0005-0000-0000-00004B0C0000}"/>
    <cellStyle name="Currency 5 2 4 6 3 2" xfId="14744" xr:uid="{A67A9E65-4350-4CDB-A202-9DD113C64F89}"/>
    <cellStyle name="Currency 5 2 4 6 4" xfId="10526" xr:uid="{A0768848-A01A-4EB0-B932-108A8B6AC63B}"/>
    <cellStyle name="Currency 5 2 4 7" xfId="2430" xr:uid="{00000000-0005-0000-0000-00004C0C0000}"/>
    <cellStyle name="Currency 5 2 4 7 2" xfId="6715" xr:uid="{00000000-0005-0000-0000-00004D0C0000}"/>
    <cellStyle name="Currency 5 2 4 7 2 2" xfId="15157" xr:uid="{D81B1C73-55AF-448E-AFE3-55C0F46C4C8F}"/>
    <cellStyle name="Currency 5 2 4 7 3" xfId="10939" xr:uid="{3620D70C-D986-4832-9868-953724EBC826}"/>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37C55D98-72B0-47EA-96ED-080B56E858FE}"/>
    <cellStyle name="Currency 5 2 4 9 3" xfId="11256" xr:uid="{BE6D1B27-C4B1-4EEF-B4B7-067B5659B7BE}"/>
    <cellStyle name="Currency 5 2 5" xfId="207" xr:uid="{00000000-0005-0000-0000-0000510C0000}"/>
    <cellStyle name="Currency 5 2 5 10" xfId="8875" xr:uid="{068CA89E-D411-44A2-83EF-D26E096F5120}"/>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FDB26199-AEC9-4E94-A0A5-82BCFAC2CA9F}"/>
    <cellStyle name="Currency 5 2 5 2 2 3" xfId="11434" xr:uid="{F6537F06-1F83-40E2-9EA5-55FDCB4BCCD6}"/>
    <cellStyle name="Currency 5 2 5 2 3" xfId="5065" xr:uid="{00000000-0005-0000-0000-0000550C0000}"/>
    <cellStyle name="Currency 5 2 5 2 3 2" xfId="13507" xr:uid="{62925368-576D-4192-9988-8377408ED4E1}"/>
    <cellStyle name="Currency 5 2 5 2 4" xfId="9289" xr:uid="{6DE7231B-4FBE-4489-8C4B-12011BFF5EE1}"/>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3E2CB5BB-8BF0-4FE1-AA15-EA47AF23B95A}"/>
    <cellStyle name="Currency 5 2 5 3 2 3" xfId="11847" xr:uid="{5F704C81-2894-4081-8054-73B397387A96}"/>
    <cellStyle name="Currency 5 2 5 3 3" xfId="5478" xr:uid="{00000000-0005-0000-0000-0000590C0000}"/>
    <cellStyle name="Currency 5 2 5 3 3 2" xfId="13920" xr:uid="{3D2BD6D3-B32D-4190-B698-0B5253BCE8FA}"/>
    <cellStyle name="Currency 5 2 5 3 4" xfId="9702" xr:uid="{E02093B4-A12E-4BE0-AC1C-AB6204A044DB}"/>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4DEA7A1B-80F7-40A0-97D9-3EB95E87540A}"/>
    <cellStyle name="Currency 5 2 5 4 2 3" xfId="12260" xr:uid="{9BB996E0-41B6-4B39-98EA-44D05C924DC5}"/>
    <cellStyle name="Currency 5 2 5 4 3" xfId="5891" xr:uid="{00000000-0005-0000-0000-00005D0C0000}"/>
    <cellStyle name="Currency 5 2 5 4 3 2" xfId="14333" xr:uid="{220BC561-C861-4574-9596-95AACA7B6A87}"/>
    <cellStyle name="Currency 5 2 5 4 4" xfId="10115" xr:uid="{A27D8BBB-30A5-4AFB-B5F3-73B02F3414F2}"/>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46DDB1C3-1CD6-4864-9CC1-2DA36DC27DFA}"/>
    <cellStyle name="Currency 5 2 5 5 2 3" xfId="12673" xr:uid="{24333209-D76C-4403-BCD5-85A0EDECC10B}"/>
    <cellStyle name="Currency 5 2 5 5 3" xfId="6304" xr:uid="{00000000-0005-0000-0000-0000610C0000}"/>
    <cellStyle name="Currency 5 2 5 5 3 2" xfId="14746" xr:uid="{BC8C4820-8AFA-40A9-8C82-B2B4AB5ABEC0}"/>
    <cellStyle name="Currency 5 2 5 5 4" xfId="10528" xr:uid="{742FD814-5BB2-4250-8C9E-99D923AD7865}"/>
    <cellStyle name="Currency 5 2 5 6" xfId="2432" xr:uid="{00000000-0005-0000-0000-0000620C0000}"/>
    <cellStyle name="Currency 5 2 5 6 2" xfId="6717" xr:uid="{00000000-0005-0000-0000-0000630C0000}"/>
    <cellStyle name="Currency 5 2 5 6 2 2" xfId="15159" xr:uid="{879770AF-3A79-4033-AE8C-B5D2AFF327B5}"/>
    <cellStyle name="Currency 5 2 5 6 3" xfId="10941" xr:uid="{1F546727-5A48-4C7E-888A-14973917E26A}"/>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810F8A7D-50B0-4CAA-9DA0-0379624F2991}"/>
    <cellStyle name="Currency 5 2 5 8 3" xfId="11258" xr:uid="{AB2D749C-BDE1-4AB5-A0DC-CA31A6EB1C5A}"/>
    <cellStyle name="Currency 5 2 5 9" xfId="4651" xr:uid="{00000000-0005-0000-0000-0000670C0000}"/>
    <cellStyle name="Currency 5 2 5 9 2" xfId="13093" xr:uid="{84E86862-6377-4F21-B328-61F5420304ED}"/>
    <cellStyle name="Currency 5 2 6" xfId="208" xr:uid="{00000000-0005-0000-0000-0000680C0000}"/>
    <cellStyle name="Currency 5 2 6 10" xfId="8876" xr:uid="{7FF6817E-985F-4448-8B7B-F79DDC6E3351}"/>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9EA4CF15-511C-484A-B518-769F585CAEDD}"/>
    <cellStyle name="Currency 5 2 6 2 2 3" xfId="11435" xr:uid="{3366CEEB-2A9E-40DE-943E-03230B8995E6}"/>
    <cellStyle name="Currency 5 2 6 2 3" xfId="5066" xr:uid="{00000000-0005-0000-0000-00006C0C0000}"/>
    <cellStyle name="Currency 5 2 6 2 3 2" xfId="13508" xr:uid="{84F7BD16-BB32-46E3-B62E-753540FC7C89}"/>
    <cellStyle name="Currency 5 2 6 2 4" xfId="9290" xr:uid="{6C6CC279-5ADF-4DF6-869A-62AC7FC04F91}"/>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742BE7EF-DBDA-4694-BB3F-CAB66A9D66EA}"/>
    <cellStyle name="Currency 5 2 6 3 2 3" xfId="11848" xr:uid="{2B491DAD-9079-4A44-A581-81B262AE13AF}"/>
    <cellStyle name="Currency 5 2 6 3 3" xfId="5479" xr:uid="{00000000-0005-0000-0000-0000700C0000}"/>
    <cellStyle name="Currency 5 2 6 3 3 2" xfId="13921" xr:uid="{20C08B63-9DFA-4A19-AB3A-EE1FC1D6C66E}"/>
    <cellStyle name="Currency 5 2 6 3 4" xfId="9703" xr:uid="{0DC4A6B6-F5CB-452B-B218-E003069884EF}"/>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B50841E0-9C8C-43C0-9A48-2B4DDF4D9478}"/>
    <cellStyle name="Currency 5 2 6 4 2 3" xfId="12261" xr:uid="{21873DCB-AB43-4251-9B8D-71BE4056187D}"/>
    <cellStyle name="Currency 5 2 6 4 3" xfId="5892" xr:uid="{00000000-0005-0000-0000-0000740C0000}"/>
    <cellStyle name="Currency 5 2 6 4 3 2" xfId="14334" xr:uid="{EE7F45F0-820A-4BDF-A579-9A2043E7E5A0}"/>
    <cellStyle name="Currency 5 2 6 4 4" xfId="10116" xr:uid="{CA263BF3-1C8F-441A-AD65-0631524C6AF2}"/>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B4FD42F7-2DB7-495A-BE7D-D27566A7468B}"/>
    <cellStyle name="Currency 5 2 6 5 2 3" xfId="12674" xr:uid="{DB95A03D-807C-4C5F-8A41-2777BC12BCE7}"/>
    <cellStyle name="Currency 5 2 6 5 3" xfId="6305" xr:uid="{00000000-0005-0000-0000-0000780C0000}"/>
    <cellStyle name="Currency 5 2 6 5 3 2" xfId="14747" xr:uid="{5E06EF0D-E1A3-41A8-9BDC-2E36FC3BAA46}"/>
    <cellStyle name="Currency 5 2 6 5 4" xfId="10529" xr:uid="{67BD19FF-630D-4CF0-9963-18E9B891AAD1}"/>
    <cellStyle name="Currency 5 2 6 6" xfId="2433" xr:uid="{00000000-0005-0000-0000-0000790C0000}"/>
    <cellStyle name="Currency 5 2 6 6 2" xfId="6718" xr:uid="{00000000-0005-0000-0000-00007A0C0000}"/>
    <cellStyle name="Currency 5 2 6 6 2 2" xfId="15160" xr:uid="{229633B6-15F4-467D-9C9B-E3189F2741E8}"/>
    <cellStyle name="Currency 5 2 6 6 3" xfId="10942" xr:uid="{9657ABDB-C776-4E7B-BA26-A4603C47EA35}"/>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E2B38BE9-9D56-41DA-9946-0B433BF9563C}"/>
    <cellStyle name="Currency 5 2 6 8 3" xfId="11259" xr:uid="{F22B2A1E-C5DE-4969-BA15-76D7C6E240EF}"/>
    <cellStyle name="Currency 5 2 6 9" xfId="4652" xr:uid="{00000000-0005-0000-0000-00007E0C0000}"/>
    <cellStyle name="Currency 5 2 6 9 2" xfId="13094" xr:uid="{D0DBDCB2-1EE8-4E44-A181-F74B6081AC25}"/>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AD19CD6B-5BF9-4754-BB79-30376454610C}"/>
    <cellStyle name="Currency 5 3 2 10 3" xfId="11260" xr:uid="{658399F3-C478-4E55-9241-95BB55D88C38}"/>
    <cellStyle name="Currency 5 3 2 11" xfId="4653" xr:uid="{00000000-0005-0000-0000-0000840C0000}"/>
    <cellStyle name="Currency 5 3 2 11 2" xfId="13095" xr:uid="{A513F6CC-7556-40FC-BFB0-95907FBD617F}"/>
    <cellStyle name="Currency 5 3 2 12" xfId="8877" xr:uid="{429A0002-A41E-4A68-B7AF-84AA6B09892E}"/>
    <cellStyle name="Currency 5 3 2 2" xfId="211" xr:uid="{00000000-0005-0000-0000-0000850C0000}"/>
    <cellStyle name="Currency 5 3 2 2 10" xfId="4654" xr:uid="{00000000-0005-0000-0000-0000860C0000}"/>
    <cellStyle name="Currency 5 3 2 2 10 2" xfId="13096" xr:uid="{EBE83458-AEDF-4036-A638-DBDE6DBAF7B7}"/>
    <cellStyle name="Currency 5 3 2 2 11" xfId="8878" xr:uid="{F5A708E0-8B30-44AA-91CA-D236E88385E2}"/>
    <cellStyle name="Currency 5 3 2 2 2" xfId="212" xr:uid="{00000000-0005-0000-0000-0000870C0000}"/>
    <cellStyle name="Currency 5 3 2 2 2 10" xfId="8879" xr:uid="{2F069105-E5C6-45E1-992B-D079CEE4EC3F}"/>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E1F2A9AE-C72A-4358-9413-3EC896049EB2}"/>
    <cellStyle name="Currency 5 3 2 2 2 2 2 3" xfId="11438" xr:uid="{839D7E65-4C58-437E-B34C-2587F4CE7413}"/>
    <cellStyle name="Currency 5 3 2 2 2 2 3" xfId="5069" xr:uid="{00000000-0005-0000-0000-00008B0C0000}"/>
    <cellStyle name="Currency 5 3 2 2 2 2 3 2" xfId="13511" xr:uid="{37FAFFE4-0991-42C8-817A-DDF7DC4464A1}"/>
    <cellStyle name="Currency 5 3 2 2 2 2 4" xfId="9293" xr:uid="{DE83E69F-DE0F-4EDB-A597-E2A6CCEF242A}"/>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34A4E71F-3CF6-452E-AA0E-B4B9BB37EDA4}"/>
    <cellStyle name="Currency 5 3 2 2 2 3 2 3" xfId="11851" xr:uid="{CAC003B8-31B1-436A-9B83-5E123B0EDDED}"/>
    <cellStyle name="Currency 5 3 2 2 2 3 3" xfId="5482" xr:uid="{00000000-0005-0000-0000-00008F0C0000}"/>
    <cellStyle name="Currency 5 3 2 2 2 3 3 2" xfId="13924" xr:uid="{F8E0FF25-DD96-4DB8-9C99-F9E9B226B531}"/>
    <cellStyle name="Currency 5 3 2 2 2 3 4" xfId="9706" xr:uid="{57D81793-1EB1-45FB-9380-212A81F1ACEE}"/>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EA0C0CD8-D226-483F-8C47-E98747FFEA48}"/>
    <cellStyle name="Currency 5 3 2 2 2 4 2 3" xfId="12264" xr:uid="{D201F371-7FF3-4AB4-9303-19850FC8D9C4}"/>
    <cellStyle name="Currency 5 3 2 2 2 4 3" xfId="5895" xr:uid="{00000000-0005-0000-0000-0000930C0000}"/>
    <cellStyle name="Currency 5 3 2 2 2 4 3 2" xfId="14337" xr:uid="{CAF90D66-3D8F-4CC3-B9E3-53831A60DA78}"/>
    <cellStyle name="Currency 5 3 2 2 2 4 4" xfId="10119" xr:uid="{92DEA722-60FA-47FA-B39F-37A1572FF67E}"/>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9702FD98-C812-4779-9074-753B5D7F5427}"/>
    <cellStyle name="Currency 5 3 2 2 2 5 2 3" xfId="12677" xr:uid="{71D9107B-8C31-4110-ACA8-1EB41539DB46}"/>
    <cellStyle name="Currency 5 3 2 2 2 5 3" xfId="6308" xr:uid="{00000000-0005-0000-0000-0000970C0000}"/>
    <cellStyle name="Currency 5 3 2 2 2 5 3 2" xfId="14750" xr:uid="{D2751D47-6DC1-4E46-B32A-18E4253F9E99}"/>
    <cellStyle name="Currency 5 3 2 2 2 5 4" xfId="10532" xr:uid="{DF75B5E7-6586-42BC-A6C9-1766ACA8FB24}"/>
    <cellStyle name="Currency 5 3 2 2 2 6" xfId="2436" xr:uid="{00000000-0005-0000-0000-0000980C0000}"/>
    <cellStyle name="Currency 5 3 2 2 2 6 2" xfId="6721" xr:uid="{00000000-0005-0000-0000-0000990C0000}"/>
    <cellStyle name="Currency 5 3 2 2 2 6 2 2" xfId="15163" xr:uid="{9ECDCFBC-2795-4A92-BE46-D0E2BCED2BA4}"/>
    <cellStyle name="Currency 5 3 2 2 2 6 3" xfId="10945" xr:uid="{26DAE431-7B48-478B-89DF-332B0F5FD6E3}"/>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761132AF-A6B7-4DF9-AFB8-F131B3E28990}"/>
    <cellStyle name="Currency 5 3 2 2 2 8 3" xfId="11262" xr:uid="{27D4A762-9F8F-4138-9D2D-1BF7F979246E}"/>
    <cellStyle name="Currency 5 3 2 2 2 9" xfId="4655" xr:uid="{00000000-0005-0000-0000-00009D0C0000}"/>
    <cellStyle name="Currency 5 3 2 2 2 9 2" xfId="13097" xr:uid="{B11B7B8E-CF84-4E9C-A8A2-EBCFEB661DB7}"/>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927E3687-5BA2-43A4-ADC3-558706050582}"/>
    <cellStyle name="Currency 5 3 2 2 3 2 3" xfId="11437" xr:uid="{238DEFD2-1052-45D1-8848-D65521B99D25}"/>
    <cellStyle name="Currency 5 3 2 2 3 3" xfId="5068" xr:uid="{00000000-0005-0000-0000-0000A10C0000}"/>
    <cellStyle name="Currency 5 3 2 2 3 3 2" xfId="13510" xr:uid="{D15FB799-587B-44CC-A407-FBEA932AC8D1}"/>
    <cellStyle name="Currency 5 3 2 2 3 4" xfId="9292" xr:uid="{FE1AF540-4989-43D8-875E-8BDED1B6F593}"/>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0586A6F5-3857-4EDE-AF6F-0BB46DCD1E56}"/>
    <cellStyle name="Currency 5 3 2 2 4 2 3" xfId="11850" xr:uid="{60DCE129-1359-46F6-80FD-8B671EFE44B5}"/>
    <cellStyle name="Currency 5 3 2 2 4 3" xfId="5481" xr:uid="{00000000-0005-0000-0000-0000A50C0000}"/>
    <cellStyle name="Currency 5 3 2 2 4 3 2" xfId="13923" xr:uid="{82547FF5-3AE8-494F-9AFB-51BC57EAD244}"/>
    <cellStyle name="Currency 5 3 2 2 4 4" xfId="9705" xr:uid="{1EE48AB7-0D22-4079-8AAC-5E33B6139A03}"/>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1D9229A6-07EA-4016-A4CA-846E9C074947}"/>
    <cellStyle name="Currency 5 3 2 2 5 2 3" xfId="12263" xr:uid="{C799C2C8-D8B5-43E1-9408-17C451CCDCB6}"/>
    <cellStyle name="Currency 5 3 2 2 5 3" xfId="5894" xr:uid="{00000000-0005-0000-0000-0000A90C0000}"/>
    <cellStyle name="Currency 5 3 2 2 5 3 2" xfId="14336" xr:uid="{202A3B22-5A41-4B16-9D7B-E8281BDD6912}"/>
    <cellStyle name="Currency 5 3 2 2 5 4" xfId="10118" xr:uid="{03D77DB5-BB77-4DEA-8D8A-694686920174}"/>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39D54657-16C3-4EB3-96A6-2BF847C6B877}"/>
    <cellStyle name="Currency 5 3 2 2 6 2 3" xfId="12676" xr:uid="{0FDD110C-319D-4646-A8A6-6C2CCB15A569}"/>
    <cellStyle name="Currency 5 3 2 2 6 3" xfId="6307" xr:uid="{00000000-0005-0000-0000-0000AD0C0000}"/>
    <cellStyle name="Currency 5 3 2 2 6 3 2" xfId="14749" xr:uid="{D1DECF04-462E-4365-840C-E4F3145BCB91}"/>
    <cellStyle name="Currency 5 3 2 2 6 4" xfId="10531" xr:uid="{B11A8BEE-AB14-4CEF-814E-C57E79DBD1A1}"/>
    <cellStyle name="Currency 5 3 2 2 7" xfId="2435" xr:uid="{00000000-0005-0000-0000-0000AE0C0000}"/>
    <cellStyle name="Currency 5 3 2 2 7 2" xfId="6720" xr:uid="{00000000-0005-0000-0000-0000AF0C0000}"/>
    <cellStyle name="Currency 5 3 2 2 7 2 2" xfId="15162" xr:uid="{7D4479BA-D46D-4333-BE03-51CF1736E4E2}"/>
    <cellStyle name="Currency 5 3 2 2 7 3" xfId="10944" xr:uid="{606008F1-9200-4F6B-9658-5A2FC050F994}"/>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0554BB5A-4FF0-4927-ACB6-22688CF39D5F}"/>
    <cellStyle name="Currency 5 3 2 2 9 3" xfId="11261" xr:uid="{F03B7E2C-5607-408A-96D2-9D23DA529720}"/>
    <cellStyle name="Currency 5 3 2 3" xfId="213" xr:uid="{00000000-0005-0000-0000-0000B30C0000}"/>
    <cellStyle name="Currency 5 3 2 3 10" xfId="8880" xr:uid="{D92F7F2B-E7C5-4DA9-89D3-A42556FC8C08}"/>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95732E64-5A60-4693-88FF-8DDD78823D56}"/>
    <cellStyle name="Currency 5 3 2 3 2 2 3" xfId="11439" xr:uid="{423B8FA7-D665-4BBE-B56D-291DEC8F7F4A}"/>
    <cellStyle name="Currency 5 3 2 3 2 3" xfId="5070" xr:uid="{00000000-0005-0000-0000-0000B70C0000}"/>
    <cellStyle name="Currency 5 3 2 3 2 3 2" xfId="13512" xr:uid="{B37F5754-CF6E-47B6-9F22-BA0EB44E5999}"/>
    <cellStyle name="Currency 5 3 2 3 2 4" xfId="9294" xr:uid="{2085550F-979D-4D57-AAD5-C2531CC49899}"/>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70F5E839-720D-4412-9B82-D7FA2E7033A1}"/>
    <cellStyle name="Currency 5 3 2 3 3 2 3" xfId="11852" xr:uid="{1B951D26-8CBA-4617-99A8-E3F0B3E22A84}"/>
    <cellStyle name="Currency 5 3 2 3 3 3" xfId="5483" xr:uid="{00000000-0005-0000-0000-0000BB0C0000}"/>
    <cellStyle name="Currency 5 3 2 3 3 3 2" xfId="13925" xr:uid="{E3117E0B-23F1-4FCA-BC62-01848EA62DE7}"/>
    <cellStyle name="Currency 5 3 2 3 3 4" xfId="9707" xr:uid="{090C744A-B7A6-49FD-BF08-125B128DA5FF}"/>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E1B870B8-8288-4DC2-8910-4AE34C2E9CC6}"/>
    <cellStyle name="Currency 5 3 2 3 4 2 3" xfId="12265" xr:uid="{3FA010CD-880B-4A26-992D-097291F038E5}"/>
    <cellStyle name="Currency 5 3 2 3 4 3" xfId="5896" xr:uid="{00000000-0005-0000-0000-0000BF0C0000}"/>
    <cellStyle name="Currency 5 3 2 3 4 3 2" xfId="14338" xr:uid="{890BD62E-F477-4532-A261-64C683D3811D}"/>
    <cellStyle name="Currency 5 3 2 3 4 4" xfId="10120" xr:uid="{949A139E-D991-4CDD-AB8D-AC4CC87743B8}"/>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84991819-69B9-4E85-8544-9021915A8A4B}"/>
    <cellStyle name="Currency 5 3 2 3 5 2 3" xfId="12678" xr:uid="{BA9E2FE2-EAAC-468E-B9CD-3BBC1B98739F}"/>
    <cellStyle name="Currency 5 3 2 3 5 3" xfId="6309" xr:uid="{00000000-0005-0000-0000-0000C30C0000}"/>
    <cellStyle name="Currency 5 3 2 3 5 3 2" xfId="14751" xr:uid="{10F052D5-F499-4A47-9EB7-6A1B34F1EE69}"/>
    <cellStyle name="Currency 5 3 2 3 5 4" xfId="10533" xr:uid="{EF7D73C1-958F-4C31-B07C-9BFF98D0A5FD}"/>
    <cellStyle name="Currency 5 3 2 3 6" xfId="2437" xr:uid="{00000000-0005-0000-0000-0000C40C0000}"/>
    <cellStyle name="Currency 5 3 2 3 6 2" xfId="6722" xr:uid="{00000000-0005-0000-0000-0000C50C0000}"/>
    <cellStyle name="Currency 5 3 2 3 6 2 2" xfId="15164" xr:uid="{C24A8965-0357-4DBF-9563-3730925B54D0}"/>
    <cellStyle name="Currency 5 3 2 3 6 3" xfId="10946" xr:uid="{27BBEFB6-0CA5-4342-845D-CF21261063A3}"/>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530041E4-92C6-47BB-9AC6-D7E5C416DAD0}"/>
    <cellStyle name="Currency 5 3 2 3 8 3" xfId="11263" xr:uid="{D5A78003-122E-444F-9A81-155DD0592BF6}"/>
    <cellStyle name="Currency 5 3 2 3 9" xfId="4656" xr:uid="{00000000-0005-0000-0000-0000C90C0000}"/>
    <cellStyle name="Currency 5 3 2 3 9 2" xfId="13098" xr:uid="{BBD32969-DD50-4F37-BA26-90D016A35E3C}"/>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3C5607B4-F3B5-49DC-A1B3-362804DC4FBC}"/>
    <cellStyle name="Currency 5 3 2 4 2 3" xfId="11436" xr:uid="{1003CC13-EFE7-464D-A983-B84A43A81300}"/>
    <cellStyle name="Currency 5 3 2 4 3" xfId="5067" xr:uid="{00000000-0005-0000-0000-0000CD0C0000}"/>
    <cellStyle name="Currency 5 3 2 4 3 2" xfId="13509" xr:uid="{38B7AFC3-77F8-46B8-B983-B4877BFCCF8C}"/>
    <cellStyle name="Currency 5 3 2 4 4" xfId="9291" xr:uid="{B362F262-7BCB-420A-B065-C866D046C6CD}"/>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987D555B-B8F4-4B22-BA22-D872C0794B84}"/>
    <cellStyle name="Currency 5 3 2 5 2 3" xfId="11849" xr:uid="{A3D25687-12D1-433F-BC49-E08C3C12A033}"/>
    <cellStyle name="Currency 5 3 2 5 3" xfId="5480" xr:uid="{00000000-0005-0000-0000-0000D10C0000}"/>
    <cellStyle name="Currency 5 3 2 5 3 2" xfId="13922" xr:uid="{5332FD74-8016-4F9A-AB2F-D0DC54D2CD5E}"/>
    <cellStyle name="Currency 5 3 2 5 4" xfId="9704" xr:uid="{350FD41F-BC96-46F4-89A5-EDCEF9B7B151}"/>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87E5E9A8-094E-4579-BA60-656DC71F61B4}"/>
    <cellStyle name="Currency 5 3 2 6 2 3" xfId="12262" xr:uid="{0A116CE4-246C-42B6-AA04-78A540CF9534}"/>
    <cellStyle name="Currency 5 3 2 6 3" xfId="5893" xr:uid="{00000000-0005-0000-0000-0000D50C0000}"/>
    <cellStyle name="Currency 5 3 2 6 3 2" xfId="14335" xr:uid="{71AE5149-1986-464B-9995-7E0306F235D2}"/>
    <cellStyle name="Currency 5 3 2 6 4" xfId="10117" xr:uid="{660CC723-744D-45E5-AA5C-8800B3C8C32F}"/>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7E3B5467-1558-49AA-B52B-9D9EE503EC37}"/>
    <cellStyle name="Currency 5 3 2 7 2 3" xfId="12675" xr:uid="{FA22B14C-9636-4EA1-AD5F-01FF5C7594D5}"/>
    <cellStyle name="Currency 5 3 2 7 3" xfId="6306" xr:uid="{00000000-0005-0000-0000-0000D90C0000}"/>
    <cellStyle name="Currency 5 3 2 7 3 2" xfId="14748" xr:uid="{1EE8851C-3619-4ADA-AE63-9BAB2C7BFB26}"/>
    <cellStyle name="Currency 5 3 2 7 4" xfId="10530" xr:uid="{BE8F2DAA-2C21-4310-9958-D8AB1FA6EFA6}"/>
    <cellStyle name="Currency 5 3 2 8" xfId="2434" xr:uid="{00000000-0005-0000-0000-0000DA0C0000}"/>
    <cellStyle name="Currency 5 3 2 8 2" xfId="6719" xr:uid="{00000000-0005-0000-0000-0000DB0C0000}"/>
    <cellStyle name="Currency 5 3 2 8 2 2" xfId="15161" xr:uid="{8ACADC8E-C7A4-462F-86DF-02CB7A266EF8}"/>
    <cellStyle name="Currency 5 3 2 8 3" xfId="10943" xr:uid="{9E9C7DBB-E346-40FA-BB8A-CB20ED5C1E1B}"/>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50E56290-375F-4FD9-BDB0-3C7E5123E81A}"/>
    <cellStyle name="Currency 5 3 3 11" xfId="8881" xr:uid="{B7567E28-6B73-4761-9500-E62F776DB3D1}"/>
    <cellStyle name="Currency 5 3 3 2" xfId="215" xr:uid="{00000000-0005-0000-0000-0000DF0C0000}"/>
    <cellStyle name="Currency 5 3 3 2 10" xfId="8882" xr:uid="{B6AEB9C4-B785-41FC-AC97-2B3917D3BE9D}"/>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3704B622-EFF1-408E-81F2-0D36E242BFD9}"/>
    <cellStyle name="Currency 5 3 3 2 2 2 3" xfId="11441" xr:uid="{F827F141-23A4-4D2E-81E1-44FFE7572F67}"/>
    <cellStyle name="Currency 5 3 3 2 2 3" xfId="5072" xr:uid="{00000000-0005-0000-0000-0000E30C0000}"/>
    <cellStyle name="Currency 5 3 3 2 2 3 2" xfId="13514" xr:uid="{77C50F02-20B2-4388-9917-260EED634C94}"/>
    <cellStyle name="Currency 5 3 3 2 2 4" xfId="9296" xr:uid="{4E9B24DA-195B-4040-980E-27A9F5E984A6}"/>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30309EB5-59B8-43F9-B1A3-70C55FF9B355}"/>
    <cellStyle name="Currency 5 3 3 2 3 2 3" xfId="11854" xr:uid="{CDFC6328-852F-46F7-AFE5-3EF9AC27C407}"/>
    <cellStyle name="Currency 5 3 3 2 3 3" xfId="5485" xr:uid="{00000000-0005-0000-0000-0000E70C0000}"/>
    <cellStyle name="Currency 5 3 3 2 3 3 2" xfId="13927" xr:uid="{F48FC3EF-078B-49C7-975A-53EC6FFDC197}"/>
    <cellStyle name="Currency 5 3 3 2 3 4" xfId="9709" xr:uid="{E094CA1B-548F-4F93-AE11-EFD9BB11DE78}"/>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FBF1CDF2-A534-4BD2-8C55-3C3A220790B9}"/>
    <cellStyle name="Currency 5 3 3 2 4 2 3" xfId="12267" xr:uid="{68872FD8-B68F-4019-ADA2-A9AC30B58085}"/>
    <cellStyle name="Currency 5 3 3 2 4 3" xfId="5898" xr:uid="{00000000-0005-0000-0000-0000EB0C0000}"/>
    <cellStyle name="Currency 5 3 3 2 4 3 2" xfId="14340" xr:uid="{1DAF2C5F-F1B9-48C9-8748-CFCBF419D7E4}"/>
    <cellStyle name="Currency 5 3 3 2 4 4" xfId="10122" xr:uid="{5FF03806-5148-4126-BFFC-891AE12CCF65}"/>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1B72EB2B-49FA-47DD-B76B-DD7703AAFEA1}"/>
    <cellStyle name="Currency 5 3 3 2 5 2 3" xfId="12680" xr:uid="{EC891772-6952-4D81-BC77-91C89D5239D7}"/>
    <cellStyle name="Currency 5 3 3 2 5 3" xfId="6311" xr:uid="{00000000-0005-0000-0000-0000EF0C0000}"/>
    <cellStyle name="Currency 5 3 3 2 5 3 2" xfId="14753" xr:uid="{3814CC9D-EBB8-4D79-A4F6-44AE2CAF84E1}"/>
    <cellStyle name="Currency 5 3 3 2 5 4" xfId="10535" xr:uid="{36FA9C10-7E5E-46AB-8D92-D4E477B813F4}"/>
    <cellStyle name="Currency 5 3 3 2 6" xfId="2439" xr:uid="{00000000-0005-0000-0000-0000F00C0000}"/>
    <cellStyle name="Currency 5 3 3 2 6 2" xfId="6724" xr:uid="{00000000-0005-0000-0000-0000F10C0000}"/>
    <cellStyle name="Currency 5 3 3 2 6 2 2" xfId="15166" xr:uid="{F52DB9D2-D409-42D5-97F2-895FDCD753B5}"/>
    <cellStyle name="Currency 5 3 3 2 6 3" xfId="10948" xr:uid="{945D787A-15FA-4C61-A168-37E3FDEB5D1D}"/>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F0F53159-CA6F-4833-9A49-D090D2C01EA5}"/>
    <cellStyle name="Currency 5 3 3 2 8 3" xfId="11265" xr:uid="{4B1B8306-CFDE-4603-AA13-23E78808363A}"/>
    <cellStyle name="Currency 5 3 3 2 9" xfId="4658" xr:uid="{00000000-0005-0000-0000-0000F50C0000}"/>
    <cellStyle name="Currency 5 3 3 2 9 2" xfId="13100" xr:uid="{121E1F92-107D-4A11-B074-097E9654A713}"/>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4703B849-17F0-49C3-9A16-75124DB353E7}"/>
    <cellStyle name="Currency 5 3 3 3 2 3" xfId="11440" xr:uid="{DBEF01CA-75C7-43E9-909A-1CD92219532B}"/>
    <cellStyle name="Currency 5 3 3 3 3" xfId="5071" xr:uid="{00000000-0005-0000-0000-0000F90C0000}"/>
    <cellStyle name="Currency 5 3 3 3 3 2" xfId="13513" xr:uid="{24FD3CD5-D07F-4AED-99AA-8BEC66832370}"/>
    <cellStyle name="Currency 5 3 3 3 4" xfId="9295" xr:uid="{55D3F749-9F87-4D43-9306-EDD5E33B4310}"/>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A673FF22-EA10-4331-A70C-0A2E395C7C51}"/>
    <cellStyle name="Currency 5 3 3 4 2 3" xfId="11853" xr:uid="{6A084C5F-5792-43FF-B5A5-DEA602AF181C}"/>
    <cellStyle name="Currency 5 3 3 4 3" xfId="5484" xr:uid="{00000000-0005-0000-0000-0000FD0C0000}"/>
    <cellStyle name="Currency 5 3 3 4 3 2" xfId="13926" xr:uid="{03CB6FFB-C133-4992-819B-A144C56D7DF5}"/>
    <cellStyle name="Currency 5 3 3 4 4" xfId="9708" xr:uid="{7529EC2B-9AB8-4834-9F61-4E1FD15B9D23}"/>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D5AB35E8-B522-44AA-9A96-90E9E49B52B6}"/>
    <cellStyle name="Currency 5 3 3 5 2 3" xfId="12266" xr:uid="{7F9CBFB1-334E-47D6-8DFF-625B4DF0932C}"/>
    <cellStyle name="Currency 5 3 3 5 3" xfId="5897" xr:uid="{00000000-0005-0000-0000-0000010D0000}"/>
    <cellStyle name="Currency 5 3 3 5 3 2" xfId="14339" xr:uid="{94BAF796-C8AF-43FB-8149-2E20236DF249}"/>
    <cellStyle name="Currency 5 3 3 5 4" xfId="10121" xr:uid="{22D00F75-591C-4A55-8062-3C8EA4DC952B}"/>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6884829D-7F84-4134-8859-73A3E49DD66F}"/>
    <cellStyle name="Currency 5 3 3 6 2 3" xfId="12679" xr:uid="{7ED382F0-01E9-4301-BFB1-9112903C2224}"/>
    <cellStyle name="Currency 5 3 3 6 3" xfId="6310" xr:uid="{00000000-0005-0000-0000-0000050D0000}"/>
    <cellStyle name="Currency 5 3 3 6 3 2" xfId="14752" xr:uid="{5A440AFA-3803-4DD8-A2BB-68E0504A60E0}"/>
    <cellStyle name="Currency 5 3 3 6 4" xfId="10534" xr:uid="{56A0CCD0-23D5-4408-90EE-9B3E96DF4512}"/>
    <cellStyle name="Currency 5 3 3 7" xfId="2438" xr:uid="{00000000-0005-0000-0000-0000060D0000}"/>
    <cellStyle name="Currency 5 3 3 7 2" xfId="6723" xr:uid="{00000000-0005-0000-0000-0000070D0000}"/>
    <cellStyle name="Currency 5 3 3 7 2 2" xfId="15165" xr:uid="{5497FA94-C2FA-491C-BA25-3D81035A22FF}"/>
    <cellStyle name="Currency 5 3 3 7 3" xfId="10947" xr:uid="{3FE96447-A8DC-4421-9D11-7B2B1A30563D}"/>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E5945A9B-DA05-4552-B6F0-1B13A747E5B1}"/>
    <cellStyle name="Currency 5 3 3 9 3" xfId="11264" xr:uid="{5CC11511-969D-44D4-A754-8397F1451F11}"/>
    <cellStyle name="Currency 5 3 4" xfId="216" xr:uid="{00000000-0005-0000-0000-00000B0D0000}"/>
    <cellStyle name="Currency 5 3 4 10" xfId="8883" xr:uid="{42DCCA0A-5F8C-4FEB-AA87-6BE3F38B7162}"/>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FE8B9603-8858-42C7-8FBB-9933089B76DA}"/>
    <cellStyle name="Currency 5 3 4 2 2 3" xfId="11442" xr:uid="{09817E71-6581-4491-A499-0EB6C564EF67}"/>
    <cellStyle name="Currency 5 3 4 2 3" xfId="5073" xr:uid="{00000000-0005-0000-0000-00000F0D0000}"/>
    <cellStyle name="Currency 5 3 4 2 3 2" xfId="13515" xr:uid="{E8A1FCC0-48A6-45A9-AC14-1432C7B3EA65}"/>
    <cellStyle name="Currency 5 3 4 2 4" xfId="9297" xr:uid="{F05B42D0-EC19-4F04-BF01-614C81418187}"/>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A3F9A5B5-6BB9-4E55-A71D-35ACEA7DA965}"/>
    <cellStyle name="Currency 5 3 4 3 2 3" xfId="11855" xr:uid="{A75077DA-9C3D-4B46-A12C-AEE0F8781E22}"/>
    <cellStyle name="Currency 5 3 4 3 3" xfId="5486" xr:uid="{00000000-0005-0000-0000-0000130D0000}"/>
    <cellStyle name="Currency 5 3 4 3 3 2" xfId="13928" xr:uid="{52E97FF0-EE57-42EE-A982-3F4F83685CD0}"/>
    <cellStyle name="Currency 5 3 4 3 4" xfId="9710" xr:uid="{BB0CAE7C-4290-4FBF-BC2C-4B34E1607334}"/>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4532DCF1-D925-4539-ADB2-700AC6B850D2}"/>
    <cellStyle name="Currency 5 3 4 4 2 3" xfId="12268" xr:uid="{0240BF15-3195-49FB-B70B-38B12DF0050D}"/>
    <cellStyle name="Currency 5 3 4 4 3" xfId="5899" xr:uid="{00000000-0005-0000-0000-0000170D0000}"/>
    <cellStyle name="Currency 5 3 4 4 3 2" xfId="14341" xr:uid="{1DA0530C-5E07-410F-92AB-2A4E6E62FAD9}"/>
    <cellStyle name="Currency 5 3 4 4 4" xfId="10123" xr:uid="{3DA6D898-52AA-468D-A3A3-6AA28AE04498}"/>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E1211512-FAEB-4BB2-B479-42E06D13B925}"/>
    <cellStyle name="Currency 5 3 4 5 2 3" xfId="12681" xr:uid="{55CF9C5C-5790-4F31-94C3-D74DC628C492}"/>
    <cellStyle name="Currency 5 3 4 5 3" xfId="6312" xr:uid="{00000000-0005-0000-0000-00001B0D0000}"/>
    <cellStyle name="Currency 5 3 4 5 3 2" xfId="14754" xr:uid="{BB22689A-4B83-41B1-A638-03516E7ADAD9}"/>
    <cellStyle name="Currency 5 3 4 5 4" xfId="10536" xr:uid="{E7D26DEB-472B-44A8-B51F-A60897849145}"/>
    <cellStyle name="Currency 5 3 4 6" xfId="2440" xr:uid="{00000000-0005-0000-0000-00001C0D0000}"/>
    <cellStyle name="Currency 5 3 4 6 2" xfId="6725" xr:uid="{00000000-0005-0000-0000-00001D0D0000}"/>
    <cellStyle name="Currency 5 3 4 6 2 2" xfId="15167" xr:uid="{CC4A171D-714A-437F-B0CC-C0BCEE90B8A3}"/>
    <cellStyle name="Currency 5 3 4 6 3" xfId="10949" xr:uid="{F8AF18BD-0F2D-46AB-912C-030A24981BDE}"/>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3D4D1414-34F0-4370-85CC-2B86F2499B95}"/>
    <cellStyle name="Currency 5 3 4 8 3" xfId="11266" xr:uid="{81FE1018-ECCA-4B08-98B3-581854C5CBA4}"/>
    <cellStyle name="Currency 5 3 4 9" xfId="4659" xr:uid="{00000000-0005-0000-0000-0000210D0000}"/>
    <cellStyle name="Currency 5 3 4 9 2" xfId="13101" xr:uid="{3D7AC0A3-4DE8-41A9-A301-30DE338411F9}"/>
    <cellStyle name="Currency 5 3 5" xfId="217" xr:uid="{00000000-0005-0000-0000-0000220D0000}"/>
    <cellStyle name="Currency 5 3 5 10" xfId="8884" xr:uid="{ABA89F0E-6A64-4430-8334-227332ECBDEF}"/>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F347A94C-6199-4084-AC6C-4D216551C42F}"/>
    <cellStyle name="Currency 5 3 5 2 2 3" xfId="11443" xr:uid="{09300A98-B9BB-4713-A9B0-14F1CC331CB5}"/>
    <cellStyle name="Currency 5 3 5 2 3" xfId="5074" xr:uid="{00000000-0005-0000-0000-0000260D0000}"/>
    <cellStyle name="Currency 5 3 5 2 3 2" xfId="13516" xr:uid="{B0173220-4E38-4231-96CB-05E26D56D2EB}"/>
    <cellStyle name="Currency 5 3 5 2 4" xfId="9298" xr:uid="{A6C122CE-F64F-4554-9055-D9075C6489EC}"/>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F6C975AD-1940-4BA5-9C5A-5B57176CAFD7}"/>
    <cellStyle name="Currency 5 3 5 3 2 3" xfId="11856" xr:uid="{4DA09DBC-FDA1-49D3-ABC1-35DF10EEDB80}"/>
    <cellStyle name="Currency 5 3 5 3 3" xfId="5487" xr:uid="{00000000-0005-0000-0000-00002A0D0000}"/>
    <cellStyle name="Currency 5 3 5 3 3 2" xfId="13929" xr:uid="{50C2273F-20F7-4B85-9CAA-48E15C55A2B1}"/>
    <cellStyle name="Currency 5 3 5 3 4" xfId="9711" xr:uid="{3D885014-8C6D-4900-AA0C-2A9EFBF62824}"/>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1FED8315-993E-431B-9888-AFC549E8692E}"/>
    <cellStyle name="Currency 5 3 5 4 2 3" xfId="12269" xr:uid="{A937FDF1-C929-4B4F-AB73-4163EE00F075}"/>
    <cellStyle name="Currency 5 3 5 4 3" xfId="5900" xr:uid="{00000000-0005-0000-0000-00002E0D0000}"/>
    <cellStyle name="Currency 5 3 5 4 3 2" xfId="14342" xr:uid="{8A9305F9-1C3D-4512-829A-15D398D8A2F8}"/>
    <cellStyle name="Currency 5 3 5 4 4" xfId="10124" xr:uid="{DB029B3B-4061-47A9-ACD1-B5FB9F666F5F}"/>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8306C7AE-9F34-4373-AFF8-17FF1AA77BFF}"/>
    <cellStyle name="Currency 5 3 5 5 2 3" xfId="12682" xr:uid="{11DDB829-F18F-4F90-A4F2-A09028774189}"/>
    <cellStyle name="Currency 5 3 5 5 3" xfId="6313" xr:uid="{00000000-0005-0000-0000-0000320D0000}"/>
    <cellStyle name="Currency 5 3 5 5 3 2" xfId="14755" xr:uid="{709D9552-29FA-4C1C-8440-92BC13A76E00}"/>
    <cellStyle name="Currency 5 3 5 5 4" xfId="10537" xr:uid="{390839EA-A2EF-4DBE-9087-8674CA38C7A3}"/>
    <cellStyle name="Currency 5 3 5 6" xfId="2441" xr:uid="{00000000-0005-0000-0000-0000330D0000}"/>
    <cellStyle name="Currency 5 3 5 6 2" xfId="6726" xr:uid="{00000000-0005-0000-0000-0000340D0000}"/>
    <cellStyle name="Currency 5 3 5 6 2 2" xfId="15168" xr:uid="{374CA4AF-5F60-43D4-84EE-643C1E1E096D}"/>
    <cellStyle name="Currency 5 3 5 6 3" xfId="10950" xr:uid="{19B095FF-C688-4CBA-9350-3A78C5FA2FCD}"/>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D4317637-B842-42CC-B8A2-E21276D02251}"/>
    <cellStyle name="Currency 5 3 5 8 3" xfId="11267" xr:uid="{FCD21F41-426D-4C21-BF6F-B53FA3EC4E8F}"/>
    <cellStyle name="Currency 5 3 5 9" xfId="4660" xr:uid="{00000000-0005-0000-0000-0000380D0000}"/>
    <cellStyle name="Currency 5 3 5 9 2" xfId="13102" xr:uid="{4576841E-2275-4AE2-9F23-6E840ABF36DF}"/>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6F41EB5D-98E2-4BAF-9776-E8280E3B00FD}"/>
    <cellStyle name="Currency 5 5 11" xfId="8885" xr:uid="{FFB49F6C-9370-4173-83A9-835A37599EA7}"/>
    <cellStyle name="Currency 5 5 2" xfId="220" xr:uid="{00000000-0005-0000-0000-00003D0D0000}"/>
    <cellStyle name="Currency 5 5 2 10" xfId="8886" xr:uid="{DF430E2E-0EB0-499D-86A0-A24ED5C714F7}"/>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77BE6357-335A-4A2A-AFF0-C2157DEA810A}"/>
    <cellStyle name="Currency 5 5 2 2 2 3" xfId="11445" xr:uid="{054D0B82-A8D2-4056-A806-C7D041AB6080}"/>
    <cellStyle name="Currency 5 5 2 2 3" xfId="5076" xr:uid="{00000000-0005-0000-0000-0000410D0000}"/>
    <cellStyle name="Currency 5 5 2 2 3 2" xfId="13518" xr:uid="{1729D90B-E48B-4C2B-A893-936E8F43D676}"/>
    <cellStyle name="Currency 5 5 2 2 4" xfId="9300" xr:uid="{CEA70C0E-FEF6-4D3F-8FDA-FAABE952663A}"/>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268915AC-5735-47F4-975C-8259E7945532}"/>
    <cellStyle name="Currency 5 5 2 3 2 3" xfId="11858" xr:uid="{187152F4-3E5F-4524-8A10-4AA8B1E2B526}"/>
    <cellStyle name="Currency 5 5 2 3 3" xfId="5489" xr:uid="{00000000-0005-0000-0000-0000450D0000}"/>
    <cellStyle name="Currency 5 5 2 3 3 2" xfId="13931" xr:uid="{CE632DC5-57C3-4FCA-9C23-F566B38FB828}"/>
    <cellStyle name="Currency 5 5 2 3 4" xfId="9713" xr:uid="{6B8FBCFA-C656-465A-BA8E-18AABB86BC85}"/>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AAA8043F-ED6A-44E7-B9B2-01B66CFC0EBD}"/>
    <cellStyle name="Currency 5 5 2 4 2 3" xfId="12271" xr:uid="{01B7C440-5127-4917-B852-6339ED5D5398}"/>
    <cellStyle name="Currency 5 5 2 4 3" xfId="5902" xr:uid="{00000000-0005-0000-0000-0000490D0000}"/>
    <cellStyle name="Currency 5 5 2 4 3 2" xfId="14344" xr:uid="{DEBCFA22-410A-442E-B762-EE1DEEAE9ADC}"/>
    <cellStyle name="Currency 5 5 2 4 4" xfId="10126" xr:uid="{291DF8FD-2259-4D02-AA66-4A328B5677AD}"/>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88CA9926-B5E3-43E2-90AE-237865FCD15E}"/>
    <cellStyle name="Currency 5 5 2 5 2 3" xfId="12684" xr:uid="{846EF119-2C18-4BE0-9C89-D8E3C15E25F3}"/>
    <cellStyle name="Currency 5 5 2 5 3" xfId="6315" xr:uid="{00000000-0005-0000-0000-00004D0D0000}"/>
    <cellStyle name="Currency 5 5 2 5 3 2" xfId="14757" xr:uid="{ACF9E7EB-199D-4E34-8EB4-EF626616504E}"/>
    <cellStyle name="Currency 5 5 2 5 4" xfId="10539" xr:uid="{181F55D2-FE9F-439D-93A6-98A882748976}"/>
    <cellStyle name="Currency 5 5 2 6" xfId="2443" xr:uid="{00000000-0005-0000-0000-00004E0D0000}"/>
    <cellStyle name="Currency 5 5 2 6 2" xfId="6728" xr:uid="{00000000-0005-0000-0000-00004F0D0000}"/>
    <cellStyle name="Currency 5 5 2 6 2 2" xfId="15170" xr:uid="{885271E7-F411-4342-A226-CD9C34CE4367}"/>
    <cellStyle name="Currency 5 5 2 6 3" xfId="10952" xr:uid="{633C782D-6A03-441E-9A75-8FEEBF17145F}"/>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28D35219-1A71-4E98-86E1-87A6C4EE77A2}"/>
    <cellStyle name="Currency 5 5 2 8 3" xfId="11269" xr:uid="{C4725FC6-70B5-455A-91D3-87663A91F714}"/>
    <cellStyle name="Currency 5 5 2 9" xfId="4662" xr:uid="{00000000-0005-0000-0000-0000530D0000}"/>
    <cellStyle name="Currency 5 5 2 9 2" xfId="13104" xr:uid="{A1E194F4-E7FC-453F-BA57-2C22A76A94D6}"/>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608AE12D-8194-4CB2-BBD7-71C51E1A9E17}"/>
    <cellStyle name="Currency 5 5 3 2 3" xfId="11444" xr:uid="{23AE52F7-2C54-4F40-9445-3E534548E7ED}"/>
    <cellStyle name="Currency 5 5 3 3" xfId="5075" xr:uid="{00000000-0005-0000-0000-0000570D0000}"/>
    <cellStyle name="Currency 5 5 3 3 2" xfId="13517" xr:uid="{EB848905-8F05-4934-AD15-B01497094E0F}"/>
    <cellStyle name="Currency 5 5 3 4" xfId="9299" xr:uid="{677DFFA8-2494-43A6-9114-EAEB524EE20B}"/>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51E87A83-6083-46FF-8850-C427BC53DA79}"/>
    <cellStyle name="Currency 5 5 4 2 3" xfId="11857" xr:uid="{B6B74716-3292-495D-91AD-EB4F79510851}"/>
    <cellStyle name="Currency 5 5 4 3" xfId="5488" xr:uid="{00000000-0005-0000-0000-00005B0D0000}"/>
    <cellStyle name="Currency 5 5 4 3 2" xfId="13930" xr:uid="{15A08C04-F9D4-4963-A2A6-B4938FE637F4}"/>
    <cellStyle name="Currency 5 5 4 4" xfId="9712" xr:uid="{77B1E912-96B5-42F5-ABF5-64CF59370DF1}"/>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03DE1A63-0B35-4406-83C2-E3494783762C}"/>
    <cellStyle name="Currency 5 5 5 2 3" xfId="12270" xr:uid="{42DBE5A3-2442-44AE-8730-2A75BE35DF1D}"/>
    <cellStyle name="Currency 5 5 5 3" xfId="5901" xr:uid="{00000000-0005-0000-0000-00005F0D0000}"/>
    <cellStyle name="Currency 5 5 5 3 2" xfId="14343" xr:uid="{9099DB26-5A62-485A-8D84-1A54CEE5A073}"/>
    <cellStyle name="Currency 5 5 5 4" xfId="10125" xr:uid="{FAB5B455-0829-4DF7-976B-134353E87B0A}"/>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EE30A287-8C89-486A-9B67-2B51A0EEE1B6}"/>
    <cellStyle name="Currency 5 5 6 2 3" xfId="12683" xr:uid="{584F5A93-C578-4F07-985D-3C2694C1A34D}"/>
    <cellStyle name="Currency 5 5 6 3" xfId="6314" xr:uid="{00000000-0005-0000-0000-0000630D0000}"/>
    <cellStyle name="Currency 5 5 6 3 2" xfId="14756" xr:uid="{C845C4B9-A49C-4D98-8B29-8CA3C2D514C1}"/>
    <cellStyle name="Currency 5 5 6 4" xfId="10538" xr:uid="{8FA315B5-D8B9-4B34-BE84-E68948F6704F}"/>
    <cellStyle name="Currency 5 5 7" xfId="2442" xr:uid="{00000000-0005-0000-0000-0000640D0000}"/>
    <cellStyle name="Currency 5 5 7 2" xfId="6727" xr:uid="{00000000-0005-0000-0000-0000650D0000}"/>
    <cellStyle name="Currency 5 5 7 2 2" xfId="15169" xr:uid="{3F5D1DE4-76D9-4950-A886-9DE954968767}"/>
    <cellStyle name="Currency 5 5 7 3" xfId="10951" xr:uid="{BAFCE80C-7806-43CF-819D-EF7AEB2667DC}"/>
    <cellStyle name="Currency 5 5 8" xfId="2739" xr:uid="{00000000-0005-0000-0000-0000660D0000}"/>
    <cellStyle name="Currency 5 5 9" xfId="2820" xr:uid="{00000000-0005-0000-0000-0000670D0000}"/>
    <cellStyle name="Currency 5 5 9 2" xfId="7044" xr:uid="{00000000-0005-0000-0000-0000680D0000}"/>
    <cellStyle name="Currency 5 5 9 2 2" xfId="15486" xr:uid="{3443D2B3-2042-453B-8CB9-8DAF56983B68}"/>
    <cellStyle name="Currency 5 5 9 3" xfId="11268" xr:uid="{16F91BDB-E6BC-4226-926E-787DD2F41233}"/>
    <cellStyle name="Currency 5 6" xfId="221" xr:uid="{00000000-0005-0000-0000-0000690D0000}"/>
    <cellStyle name="Currency 5 6 10" xfId="8887" xr:uid="{1ED833F7-C5A4-4182-85A0-4625A0D1F545}"/>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BB73BD2E-B1EF-4583-935C-578C13FB2A7E}"/>
    <cellStyle name="Currency 5 6 2 2 3" xfId="11446" xr:uid="{F11DA92D-F214-4870-8F1B-42229768F6B0}"/>
    <cellStyle name="Currency 5 6 2 3" xfId="5077" xr:uid="{00000000-0005-0000-0000-00006D0D0000}"/>
    <cellStyle name="Currency 5 6 2 3 2" xfId="13519" xr:uid="{A293C3A6-7AAB-4E2F-A0FC-A696A572D166}"/>
    <cellStyle name="Currency 5 6 2 4" xfId="9301" xr:uid="{6834F30D-E22E-4F66-BE2D-0002412EB1CD}"/>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D1A0E65A-C9E6-4DFF-9F22-A0E7F036B9E9}"/>
    <cellStyle name="Currency 5 6 3 2 3" xfId="11859" xr:uid="{F67183AC-E811-4B9B-A2B3-D1269F91698D}"/>
    <cellStyle name="Currency 5 6 3 3" xfId="5490" xr:uid="{00000000-0005-0000-0000-0000710D0000}"/>
    <cellStyle name="Currency 5 6 3 3 2" xfId="13932" xr:uid="{F337B014-08D0-472E-996E-5C9B8D9B8360}"/>
    <cellStyle name="Currency 5 6 3 4" xfId="9714" xr:uid="{F15F455A-78D4-4B71-9FE7-2BD0ED931B42}"/>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DD21FA27-22A8-4459-A601-E71F33ACDE0F}"/>
    <cellStyle name="Currency 5 6 4 2 3" xfId="12272" xr:uid="{1C7037DE-CAF7-4A9A-ACA6-25C16A6DF7A2}"/>
    <cellStyle name="Currency 5 6 4 3" xfId="5903" xr:uid="{00000000-0005-0000-0000-0000750D0000}"/>
    <cellStyle name="Currency 5 6 4 3 2" xfId="14345" xr:uid="{C39BEE27-7443-45E8-938E-24616FA64CBE}"/>
    <cellStyle name="Currency 5 6 4 4" xfId="10127" xr:uid="{77E3F018-4D5E-4D4D-8D49-65F180108AB5}"/>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5BD6C823-2F23-49E4-9891-F29B496E7999}"/>
    <cellStyle name="Currency 5 6 5 2 3" xfId="12685" xr:uid="{403B35F9-4BD3-4807-8A5C-6953B971B3AD}"/>
    <cellStyle name="Currency 5 6 5 3" xfId="6316" xr:uid="{00000000-0005-0000-0000-0000790D0000}"/>
    <cellStyle name="Currency 5 6 5 3 2" xfId="14758" xr:uid="{3EECDF6F-E330-4622-ABDB-2696A3609C3E}"/>
    <cellStyle name="Currency 5 6 5 4" xfId="10540" xr:uid="{FB38C5BF-7362-4647-87F7-B440B41B4D84}"/>
    <cellStyle name="Currency 5 6 6" xfId="2444" xr:uid="{00000000-0005-0000-0000-00007A0D0000}"/>
    <cellStyle name="Currency 5 6 6 2" xfId="6729" xr:uid="{00000000-0005-0000-0000-00007B0D0000}"/>
    <cellStyle name="Currency 5 6 6 2 2" xfId="15171" xr:uid="{1CE96CA0-BD1C-41D4-ACEF-5A54C0E42A3B}"/>
    <cellStyle name="Currency 5 6 6 3" xfId="10953" xr:uid="{F1EB5980-AB90-43C9-A625-F7BB93B45598}"/>
    <cellStyle name="Currency 5 6 7" xfId="2741" xr:uid="{00000000-0005-0000-0000-00007C0D0000}"/>
    <cellStyle name="Currency 5 6 8" xfId="2822" xr:uid="{00000000-0005-0000-0000-00007D0D0000}"/>
    <cellStyle name="Currency 5 6 8 2" xfId="7046" xr:uid="{00000000-0005-0000-0000-00007E0D0000}"/>
    <cellStyle name="Currency 5 6 8 2 2" xfId="15488" xr:uid="{974CEFF0-F568-48CA-AF01-734D240C8786}"/>
    <cellStyle name="Currency 5 6 8 3" xfId="11270" xr:uid="{C47A84B2-08D7-4C01-AF6F-4927ED82C147}"/>
    <cellStyle name="Currency 5 6 9" xfId="4663" xr:uid="{00000000-0005-0000-0000-00007F0D0000}"/>
    <cellStyle name="Currency 5 6 9 2" xfId="13105" xr:uid="{FAFCCEFA-CE20-4722-BA3C-A46E5C80F7CE}"/>
    <cellStyle name="Currency 5 7" xfId="222" xr:uid="{00000000-0005-0000-0000-0000800D0000}"/>
    <cellStyle name="Currency 5 7 10" xfId="8888" xr:uid="{3BC2DAA6-06E2-40C6-ABB1-7014602B7730}"/>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C8B4635D-4F58-459E-8C1E-670E2984F356}"/>
    <cellStyle name="Currency 5 7 2 2 3" xfId="11447" xr:uid="{8D2094E5-5AE9-45A5-84EB-24190A23FCB7}"/>
    <cellStyle name="Currency 5 7 2 3" xfId="5078" xr:uid="{00000000-0005-0000-0000-0000840D0000}"/>
    <cellStyle name="Currency 5 7 2 3 2" xfId="13520" xr:uid="{5F9DB1D5-3EEF-46BC-9D8A-EB75E6D01171}"/>
    <cellStyle name="Currency 5 7 2 4" xfId="9302" xr:uid="{61559431-58F7-4D9C-A67B-73D13AD43787}"/>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3BB5272A-8FC9-4EF5-B919-887333FBE8C4}"/>
    <cellStyle name="Currency 5 7 3 2 3" xfId="11860" xr:uid="{2F07F55F-3F7D-4BC0-AAC6-0373DC7538DA}"/>
    <cellStyle name="Currency 5 7 3 3" xfId="5491" xr:uid="{00000000-0005-0000-0000-0000880D0000}"/>
    <cellStyle name="Currency 5 7 3 3 2" xfId="13933" xr:uid="{3B42BA8C-982D-4A91-B01D-76EAD683DD9E}"/>
    <cellStyle name="Currency 5 7 3 4" xfId="9715" xr:uid="{8065CED1-6BEA-4594-8835-83717CFE1ABE}"/>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CA2987DD-08C1-4E68-95C2-B98DACE34B6F}"/>
    <cellStyle name="Currency 5 7 4 2 3" xfId="12273" xr:uid="{F4597AC4-4077-4527-85C7-F45E38360E6C}"/>
    <cellStyle name="Currency 5 7 4 3" xfId="5904" xr:uid="{00000000-0005-0000-0000-00008C0D0000}"/>
    <cellStyle name="Currency 5 7 4 3 2" xfId="14346" xr:uid="{1EE1883B-5BC8-4423-BF5A-BA3AB6BFF9DE}"/>
    <cellStyle name="Currency 5 7 4 4" xfId="10128" xr:uid="{FF628364-2770-47B4-9628-0BBB90F1F0F9}"/>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9E2B5EBC-5874-42BA-9444-B53A25813BA8}"/>
    <cellStyle name="Currency 5 7 5 2 3" xfId="12686" xr:uid="{5BF019F8-6EC9-469B-8854-903107C96FC4}"/>
    <cellStyle name="Currency 5 7 5 3" xfId="6317" xr:uid="{00000000-0005-0000-0000-0000900D0000}"/>
    <cellStyle name="Currency 5 7 5 3 2" xfId="14759" xr:uid="{56C880EF-7EC8-4347-8FB0-F3C398A56491}"/>
    <cellStyle name="Currency 5 7 5 4" xfId="10541" xr:uid="{C5ED154E-AE57-413C-A6B3-08398DA39794}"/>
    <cellStyle name="Currency 5 7 6" xfId="2445" xr:uid="{00000000-0005-0000-0000-0000910D0000}"/>
    <cellStyle name="Currency 5 7 6 2" xfId="6730" xr:uid="{00000000-0005-0000-0000-0000920D0000}"/>
    <cellStyle name="Currency 5 7 6 2 2" xfId="15172" xr:uid="{206A57DC-47AC-4286-A7D2-532A622E8066}"/>
    <cellStyle name="Currency 5 7 6 3" xfId="10954" xr:uid="{36859CD5-6919-4631-B416-9F190BAD1060}"/>
    <cellStyle name="Currency 5 7 7" xfId="2742" xr:uid="{00000000-0005-0000-0000-0000930D0000}"/>
    <cellStyle name="Currency 5 7 8" xfId="2823" xr:uid="{00000000-0005-0000-0000-0000940D0000}"/>
    <cellStyle name="Currency 5 7 8 2" xfId="7047" xr:uid="{00000000-0005-0000-0000-0000950D0000}"/>
    <cellStyle name="Currency 5 7 8 2 2" xfId="15489" xr:uid="{890630F1-AC68-4B5C-88A2-3E7AF2D723B8}"/>
    <cellStyle name="Currency 5 7 8 3" xfId="11271" xr:uid="{3D04A442-560B-408F-A074-503B39DE6C0F}"/>
    <cellStyle name="Currency 5 7 9" xfId="4664" xr:uid="{00000000-0005-0000-0000-0000960D0000}"/>
    <cellStyle name="Currency 5 7 9 2" xfId="13106" xr:uid="{3C8EED89-7D73-44EB-90F8-7DFA71EFC3EF}"/>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90060BDE-9786-45D8-AA6F-2618F00AF386}"/>
    <cellStyle name="Normal 12 10 3" xfId="10955" xr:uid="{BF01B9A7-C40F-4281-B72B-68B08BC963BF}"/>
    <cellStyle name="Normal 12 11" xfId="4665" xr:uid="{00000000-0005-0000-0000-0000CC0D0000}"/>
    <cellStyle name="Normal 12 11 2" xfId="13107" xr:uid="{7236847C-B958-4008-802C-81D657575BE7}"/>
    <cellStyle name="Normal 12 12" xfId="8889" xr:uid="{620FD888-A9E4-4468-B86A-DBE78BAF6B8C}"/>
    <cellStyle name="Normal 12 2" xfId="260" xr:uid="{00000000-0005-0000-0000-0000CD0D0000}"/>
    <cellStyle name="Normal 12 2 10" xfId="8890" xr:uid="{92316F35-E7F7-4F0E-B381-52366202C8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C9C5948D-5048-4AFC-A775-B910A211E4C3}"/>
    <cellStyle name="Normal 12 2 2 2 2 2 3" xfId="11451" xr:uid="{3276F4F4-ADA4-4263-8C76-D96CEEA11629}"/>
    <cellStyle name="Normal 12 2 2 2 2 3" xfId="5082" xr:uid="{00000000-0005-0000-0000-0000D30D0000}"/>
    <cellStyle name="Normal 12 2 2 2 2 3 2" xfId="13524" xr:uid="{89B60CDB-EEC1-4240-9461-FC86C217695F}"/>
    <cellStyle name="Normal 12 2 2 2 2 4" xfId="9306" xr:uid="{9A6E24AD-F276-4472-AFB2-D775D824617E}"/>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7E92D731-E1B2-4A3A-8F3B-4388934BD2CA}"/>
    <cellStyle name="Normal 12 2 2 2 3 2 3" xfId="11864" xr:uid="{E09CE3DB-DD70-436D-9A67-C31EC468F2DF}"/>
    <cellStyle name="Normal 12 2 2 2 3 3" xfId="5495" xr:uid="{00000000-0005-0000-0000-0000D70D0000}"/>
    <cellStyle name="Normal 12 2 2 2 3 3 2" xfId="13937" xr:uid="{BBD31065-B6FA-4544-9B83-BE409392C2B0}"/>
    <cellStyle name="Normal 12 2 2 2 3 4" xfId="9719" xr:uid="{9110F300-E49C-4272-8EA1-DDFF352008FE}"/>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0104EF55-04BF-4981-A63B-C0FFE21477DE}"/>
    <cellStyle name="Normal 12 2 2 2 4 2 3" xfId="12277" xr:uid="{48530C14-5C0F-49F6-9CAD-25FBE7AEF616}"/>
    <cellStyle name="Normal 12 2 2 2 4 3" xfId="5908" xr:uid="{00000000-0005-0000-0000-0000DB0D0000}"/>
    <cellStyle name="Normal 12 2 2 2 4 3 2" xfId="14350" xr:uid="{518D47E7-37E6-4016-BBB0-9BFB5C51CF29}"/>
    <cellStyle name="Normal 12 2 2 2 4 4" xfId="10132" xr:uid="{72EA4D40-A997-434D-A90D-A34AA779FF49}"/>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B8F5DC22-6692-4FFD-8BAA-7AA5931226DC}"/>
    <cellStyle name="Normal 12 2 2 2 5 2 3" xfId="12690" xr:uid="{33169DDC-CD45-4CD5-ADD6-F67FBE98FB02}"/>
    <cellStyle name="Normal 12 2 2 2 5 3" xfId="6321" xr:uid="{00000000-0005-0000-0000-0000DF0D0000}"/>
    <cellStyle name="Normal 12 2 2 2 5 3 2" xfId="14763" xr:uid="{166E99D1-8ECA-4F2B-A8BE-C1B7949CC7BF}"/>
    <cellStyle name="Normal 12 2 2 2 5 4" xfId="10545" xr:uid="{38F11D54-C6B1-4B47-B4DD-623DACBE161B}"/>
    <cellStyle name="Normal 12 2 2 2 6" xfId="2450" xr:uid="{00000000-0005-0000-0000-0000E00D0000}"/>
    <cellStyle name="Normal 12 2 2 2 6 2" xfId="6734" xr:uid="{00000000-0005-0000-0000-0000E10D0000}"/>
    <cellStyle name="Normal 12 2 2 2 6 2 2" xfId="15176" xr:uid="{68584D1C-A681-4693-BC34-2E74DE5EA28B}"/>
    <cellStyle name="Normal 12 2 2 2 6 3" xfId="10958" xr:uid="{6648E02F-5FCB-4FB6-95CE-B9A700D6C189}"/>
    <cellStyle name="Normal 12 2 2 2 7" xfId="4668" xr:uid="{00000000-0005-0000-0000-0000E20D0000}"/>
    <cellStyle name="Normal 12 2 2 2 7 2" xfId="13110" xr:uid="{CBB3192E-6B33-40FB-8FA2-2DF33CFD7D3D}"/>
    <cellStyle name="Normal 12 2 2 2 8" xfId="8892" xr:uid="{C8C15AB2-30AD-4DE7-B47C-F74F7A8BA2F9}"/>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E97919F6-FCD5-46F8-ABF0-EED5910F9A2B}"/>
    <cellStyle name="Normal 12 2 2 3 2 3" xfId="11450" xr:uid="{7D437895-6794-40E2-BAE3-25FCE19F7DF8}"/>
    <cellStyle name="Normal 12 2 2 3 3" xfId="5081" xr:uid="{00000000-0005-0000-0000-0000E60D0000}"/>
    <cellStyle name="Normal 12 2 2 3 3 2" xfId="13523" xr:uid="{3DA91AD9-8EC7-4972-998F-88A6FBEDE0F5}"/>
    <cellStyle name="Normal 12 2 2 3 4" xfId="9305" xr:uid="{0E36F0E3-E981-41CD-97FD-A26174443FD9}"/>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CFC47B7B-8CEE-488E-A108-76164C21DFB4}"/>
    <cellStyle name="Normal 12 2 2 4 2 3" xfId="11863" xr:uid="{F65599B1-DDC7-4E28-8121-ACFC9289EA2F}"/>
    <cellStyle name="Normal 12 2 2 4 3" xfId="5494" xr:uid="{00000000-0005-0000-0000-0000EA0D0000}"/>
    <cellStyle name="Normal 12 2 2 4 3 2" xfId="13936" xr:uid="{D506B5BE-7F6E-4C47-9DD1-40286801FBA2}"/>
    <cellStyle name="Normal 12 2 2 4 4" xfId="9718" xr:uid="{D4600B8A-A5CF-42D7-98BC-310165CB7518}"/>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DDB3DF1D-30A6-4B95-9E7B-1FE8D3B8763D}"/>
    <cellStyle name="Normal 12 2 2 5 2 3" xfId="12276" xr:uid="{D8B50C18-5540-4498-A90A-3E738663A5CF}"/>
    <cellStyle name="Normal 12 2 2 5 3" xfId="5907" xr:uid="{00000000-0005-0000-0000-0000EE0D0000}"/>
    <cellStyle name="Normal 12 2 2 5 3 2" xfId="14349" xr:uid="{A5098ECD-C15E-4232-93D4-19E7BCB0082B}"/>
    <cellStyle name="Normal 12 2 2 5 4" xfId="10131" xr:uid="{055E77D5-F2F2-4652-826D-37937A1C941D}"/>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5B64EF5D-9BC9-486B-A140-A992284E02B0}"/>
    <cellStyle name="Normal 12 2 2 6 2 3" xfId="12689" xr:uid="{122651EE-1B25-4DFC-B510-B303884900BC}"/>
    <cellStyle name="Normal 12 2 2 6 3" xfId="6320" xr:uid="{00000000-0005-0000-0000-0000F20D0000}"/>
    <cellStyle name="Normal 12 2 2 6 3 2" xfId="14762" xr:uid="{39760879-DC88-4F0F-A363-9BFAD23810C0}"/>
    <cellStyle name="Normal 12 2 2 6 4" xfId="10544" xr:uid="{B886496C-1EEF-4E22-B536-198ECA290F57}"/>
    <cellStyle name="Normal 12 2 2 7" xfId="2449" xr:uid="{00000000-0005-0000-0000-0000F30D0000}"/>
    <cellStyle name="Normal 12 2 2 7 2" xfId="6733" xr:uid="{00000000-0005-0000-0000-0000F40D0000}"/>
    <cellStyle name="Normal 12 2 2 7 2 2" xfId="15175" xr:uid="{D7A78F80-2E0A-404B-819B-755A5FA0B478}"/>
    <cellStyle name="Normal 12 2 2 7 3" xfId="10957" xr:uid="{5472D961-8270-4549-87B4-9BA01719BB32}"/>
    <cellStyle name="Normal 12 2 2 8" xfId="4667" xr:uid="{00000000-0005-0000-0000-0000F50D0000}"/>
    <cellStyle name="Normal 12 2 2 8 2" xfId="13109" xr:uid="{F7509574-1DA6-480C-9866-5EEE306FD0C8}"/>
    <cellStyle name="Normal 12 2 2 9" xfId="8891" xr:uid="{EB1CFF18-4B3B-4AB0-A804-5560AB265992}"/>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0F3170C3-ABE5-4720-96AE-9AD085483DBC}"/>
    <cellStyle name="Normal 12 2 3 2 2 3" xfId="11452" xr:uid="{E5B3DC27-9882-4ACD-847C-035CC5FACB2B}"/>
    <cellStyle name="Normal 12 2 3 2 3" xfId="5083" xr:uid="{00000000-0005-0000-0000-0000FA0D0000}"/>
    <cellStyle name="Normal 12 2 3 2 3 2" xfId="13525" xr:uid="{A2526F99-7411-4ADF-A6C9-70B91FED817A}"/>
    <cellStyle name="Normal 12 2 3 2 4" xfId="9307" xr:uid="{6953D359-C607-4667-B14C-B13EBF31A711}"/>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9CF723A8-9165-4BEC-B933-0F59CD47313A}"/>
    <cellStyle name="Normal 12 2 3 3 2 3" xfId="11865" xr:uid="{4C3A560A-FC50-4BA7-88BE-8007709B41FC}"/>
    <cellStyle name="Normal 12 2 3 3 3" xfId="5496" xr:uid="{00000000-0005-0000-0000-0000FE0D0000}"/>
    <cellStyle name="Normal 12 2 3 3 3 2" xfId="13938" xr:uid="{48AD258D-5A02-4612-9BD8-2DCC49A912AE}"/>
    <cellStyle name="Normal 12 2 3 3 4" xfId="9720" xr:uid="{6AFED3D6-33CF-4E73-BAAA-81AF916AE912}"/>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18425642-FA21-4BFA-B779-A8980F47FB68}"/>
    <cellStyle name="Normal 12 2 3 4 2 3" xfId="12278" xr:uid="{7453B12C-551B-4EAE-B67A-215EFBB2CF95}"/>
    <cellStyle name="Normal 12 2 3 4 3" xfId="5909" xr:uid="{00000000-0005-0000-0000-0000020E0000}"/>
    <cellStyle name="Normal 12 2 3 4 3 2" xfId="14351" xr:uid="{FB4F6FAC-D6D9-486B-9CB8-9FD6973A29D4}"/>
    <cellStyle name="Normal 12 2 3 4 4" xfId="10133" xr:uid="{927DB412-853C-4C21-B508-EEE6723F50E8}"/>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690E5DF6-C77D-497F-9586-78DB63D29B57}"/>
    <cellStyle name="Normal 12 2 3 5 2 3" xfId="12691" xr:uid="{C8837D21-3D33-4C32-86D0-3BE2A01656DF}"/>
    <cellStyle name="Normal 12 2 3 5 3" xfId="6322" xr:uid="{00000000-0005-0000-0000-0000060E0000}"/>
    <cellStyle name="Normal 12 2 3 5 3 2" xfId="14764" xr:uid="{15605B65-51C1-4ADF-A796-A8BF3A757CC9}"/>
    <cellStyle name="Normal 12 2 3 5 4" xfId="10546" xr:uid="{8B28C98D-E2CA-48E6-ADD2-ECDDC6BEE470}"/>
    <cellStyle name="Normal 12 2 3 6" xfId="2451" xr:uid="{00000000-0005-0000-0000-0000070E0000}"/>
    <cellStyle name="Normal 12 2 3 6 2" xfId="6735" xr:uid="{00000000-0005-0000-0000-0000080E0000}"/>
    <cellStyle name="Normal 12 2 3 6 2 2" xfId="15177" xr:uid="{3A78883B-23B5-41E9-9A5D-57DE0AB6C759}"/>
    <cellStyle name="Normal 12 2 3 6 3" xfId="10959" xr:uid="{DF73A2E5-808C-439A-95D2-859EADBD44E8}"/>
    <cellStyle name="Normal 12 2 3 7" xfId="4669" xr:uid="{00000000-0005-0000-0000-0000090E0000}"/>
    <cellStyle name="Normal 12 2 3 7 2" xfId="13111" xr:uid="{808A19A6-263F-44E0-B0DA-0407D440BE02}"/>
    <cellStyle name="Normal 12 2 3 8" xfId="8893" xr:uid="{9737F77F-7053-456B-AF0A-D998100ECBB5}"/>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820C4E37-5648-47C9-8920-4DDA002DBAB4}"/>
    <cellStyle name="Normal 12 2 4 2 3" xfId="11449" xr:uid="{C663A1B1-87FB-405A-ADC9-8E49E66FB393}"/>
    <cellStyle name="Normal 12 2 4 3" xfId="5080" xr:uid="{00000000-0005-0000-0000-00000D0E0000}"/>
    <cellStyle name="Normal 12 2 4 3 2" xfId="13522" xr:uid="{123DB2CC-1BC0-4275-8D6C-CD6DB8D9739F}"/>
    <cellStyle name="Normal 12 2 4 4" xfId="9304" xr:uid="{57D7C531-19BC-43F7-8785-23F008DCBD9B}"/>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1213488A-260C-460C-90FD-16B27832A464}"/>
    <cellStyle name="Normal 12 2 5 2 3" xfId="11862" xr:uid="{00087784-6FF0-4845-A483-58B8583AF08C}"/>
    <cellStyle name="Normal 12 2 5 3" xfId="5493" xr:uid="{00000000-0005-0000-0000-0000110E0000}"/>
    <cellStyle name="Normal 12 2 5 3 2" xfId="13935" xr:uid="{941F79D7-915D-41C9-BEAE-B4D29564060B}"/>
    <cellStyle name="Normal 12 2 5 4" xfId="9717" xr:uid="{DC08B1AA-4ECB-4385-BF5E-0EE9B300DBEF}"/>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E4D5267F-8ABF-48D4-8ED7-D364DEC612E7}"/>
    <cellStyle name="Normal 12 2 6 2 3" xfId="12275" xr:uid="{586588CE-B172-4CA7-A9AB-4A5DFF7A343F}"/>
    <cellStyle name="Normal 12 2 6 3" xfId="5906" xr:uid="{00000000-0005-0000-0000-0000150E0000}"/>
    <cellStyle name="Normal 12 2 6 3 2" xfId="14348" xr:uid="{21544122-12A2-4081-AEEB-902DF93A8235}"/>
    <cellStyle name="Normal 12 2 6 4" xfId="10130" xr:uid="{25C07B8F-56F1-4540-BE25-04F0D32A3AE4}"/>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CDDB9071-AD8F-43B4-91E3-B0B124082E0A}"/>
    <cellStyle name="Normal 12 2 7 2 3" xfId="12688" xr:uid="{82C00D41-F8F1-4DD4-A0E7-06CDBA5AF571}"/>
    <cellStyle name="Normal 12 2 7 3" xfId="6319" xr:uid="{00000000-0005-0000-0000-0000190E0000}"/>
    <cellStyle name="Normal 12 2 7 3 2" xfId="14761" xr:uid="{484C4D75-8745-4D31-8B00-16009D335DDA}"/>
    <cellStyle name="Normal 12 2 7 4" xfId="10543" xr:uid="{B96F1E25-042E-4C1F-93B4-2534DF84DEB7}"/>
    <cellStyle name="Normal 12 2 8" xfId="2448" xr:uid="{00000000-0005-0000-0000-00001A0E0000}"/>
    <cellStyle name="Normal 12 2 8 2" xfId="6732" xr:uid="{00000000-0005-0000-0000-00001B0E0000}"/>
    <cellStyle name="Normal 12 2 8 2 2" xfId="15174" xr:uid="{0DAEB000-9D87-4CFA-AE6D-EC8F57C295C7}"/>
    <cellStyle name="Normal 12 2 8 3" xfId="10956" xr:uid="{25CD5E52-9CBF-425A-B8F5-7141246074CE}"/>
    <cellStyle name="Normal 12 2 9" xfId="4666" xr:uid="{00000000-0005-0000-0000-00001C0E0000}"/>
    <cellStyle name="Normal 12 2 9 2" xfId="13108" xr:uid="{309C0B3D-DEC7-4E25-8B7E-B7B843A6C8C7}"/>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E5A868F9-EA71-4D82-BF09-7F07A29169EB}"/>
    <cellStyle name="Normal 12 3 2 2 2 3" xfId="11454" xr:uid="{200C03DC-FB8F-4BCB-A9DB-FEF3EE745CD4}"/>
    <cellStyle name="Normal 12 3 2 2 3" xfId="5085" xr:uid="{00000000-0005-0000-0000-0000220E0000}"/>
    <cellStyle name="Normal 12 3 2 2 3 2" xfId="13527" xr:uid="{1DB991A7-AE74-4009-A536-1BE5BE2B1FF3}"/>
    <cellStyle name="Normal 12 3 2 2 4" xfId="9309" xr:uid="{05FD0CCC-E247-40BC-97EB-6FB258EC2337}"/>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7480DF42-E305-41AA-806B-BD5FB1A94D63}"/>
    <cellStyle name="Normal 12 3 2 3 2 3" xfId="11867" xr:uid="{C1121A36-80E4-4D7A-8922-4956E5DE5721}"/>
    <cellStyle name="Normal 12 3 2 3 3" xfId="5498" xr:uid="{00000000-0005-0000-0000-0000260E0000}"/>
    <cellStyle name="Normal 12 3 2 3 3 2" xfId="13940" xr:uid="{E2583B72-6497-45AB-BDCD-D5C412931932}"/>
    <cellStyle name="Normal 12 3 2 3 4" xfId="9722" xr:uid="{E3C71191-1064-4C71-B06C-10A6A9B7D595}"/>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3F766A37-F33A-4459-9987-99E9B4D17A34}"/>
    <cellStyle name="Normal 12 3 2 4 2 3" xfId="12280" xr:uid="{F4B8E1C1-7301-47DA-824B-F8A81CC26C11}"/>
    <cellStyle name="Normal 12 3 2 4 3" xfId="5911" xr:uid="{00000000-0005-0000-0000-00002A0E0000}"/>
    <cellStyle name="Normal 12 3 2 4 3 2" xfId="14353" xr:uid="{E1CA69EB-84FA-46C3-8493-021C771CA897}"/>
    <cellStyle name="Normal 12 3 2 4 4" xfId="10135" xr:uid="{14FE29FF-578B-4697-8B81-8C2EDD681AFD}"/>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9A0C2BAA-E4B5-46F6-9CAD-62FC1C212049}"/>
    <cellStyle name="Normal 12 3 2 5 2 3" xfId="12693" xr:uid="{8535D971-4F74-4DBD-A836-660C20E7ECF2}"/>
    <cellStyle name="Normal 12 3 2 5 3" xfId="6324" xr:uid="{00000000-0005-0000-0000-00002E0E0000}"/>
    <cellStyle name="Normal 12 3 2 5 3 2" xfId="14766" xr:uid="{5F23A4D6-1270-4D25-8A71-901A8C8E83F2}"/>
    <cellStyle name="Normal 12 3 2 5 4" xfId="10548" xr:uid="{47751D4E-167A-462D-BC32-E7B8649618A5}"/>
    <cellStyle name="Normal 12 3 2 6" xfId="2453" xr:uid="{00000000-0005-0000-0000-00002F0E0000}"/>
    <cellStyle name="Normal 12 3 2 6 2" xfId="6737" xr:uid="{00000000-0005-0000-0000-0000300E0000}"/>
    <cellStyle name="Normal 12 3 2 6 2 2" xfId="15179" xr:uid="{66D43CBB-8984-47E9-82CB-6FC0AB6855E5}"/>
    <cellStyle name="Normal 12 3 2 6 3" xfId="10961" xr:uid="{A5E77696-CBC6-4B44-9B6D-D72854CDBF6C}"/>
    <cellStyle name="Normal 12 3 2 7" xfId="4671" xr:uid="{00000000-0005-0000-0000-0000310E0000}"/>
    <cellStyle name="Normal 12 3 2 7 2" xfId="13113" xr:uid="{692745F3-2346-4531-81BA-6B63D7BAB15F}"/>
    <cellStyle name="Normal 12 3 2 8" xfId="8895" xr:uid="{880CDA64-E8E8-4B3D-913B-FD89E47BFC8B}"/>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40DDCBB9-A7CB-4E7C-9C6D-5B5C000D5D3E}"/>
    <cellStyle name="Normal 12 3 3 2 3" xfId="11453" xr:uid="{248CAEDA-68CF-410A-8E81-DA5ADB269C7C}"/>
    <cellStyle name="Normal 12 3 3 3" xfId="5084" xr:uid="{00000000-0005-0000-0000-0000350E0000}"/>
    <cellStyle name="Normal 12 3 3 3 2" xfId="13526" xr:uid="{AB6AF784-F32F-4D9A-811F-82A035FF7551}"/>
    <cellStyle name="Normal 12 3 3 4" xfId="9308" xr:uid="{917C9BAD-3941-4A64-9E3D-9D7EB5D55583}"/>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EA596037-DB77-4968-84B9-620AF1C54165}"/>
    <cellStyle name="Normal 12 3 4 2 3" xfId="11866" xr:uid="{2BBD31F4-E6AE-4E93-9C4B-819C1C72D9E5}"/>
    <cellStyle name="Normal 12 3 4 3" xfId="5497" xr:uid="{00000000-0005-0000-0000-0000390E0000}"/>
    <cellStyle name="Normal 12 3 4 3 2" xfId="13939" xr:uid="{19020ECE-FBBB-4D1E-B845-78FBAAB6C8B3}"/>
    <cellStyle name="Normal 12 3 4 4" xfId="9721" xr:uid="{6E662AC4-C367-4041-8059-6F92F67E8654}"/>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57527525-CCE8-4B18-988E-5768C2CB8F52}"/>
    <cellStyle name="Normal 12 3 5 2 3" xfId="12279" xr:uid="{E0341C35-56E6-40FE-9FEC-EFB2E0405072}"/>
    <cellStyle name="Normal 12 3 5 3" xfId="5910" xr:uid="{00000000-0005-0000-0000-00003D0E0000}"/>
    <cellStyle name="Normal 12 3 5 3 2" xfId="14352" xr:uid="{C077B5D1-50C1-460C-A49E-BB23B510DCC8}"/>
    <cellStyle name="Normal 12 3 5 4" xfId="10134" xr:uid="{A3CA41B5-4A7A-43A0-8444-CBF782C0C5C3}"/>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10B26DDC-EB82-4A09-BADC-61D23806CF5F}"/>
    <cellStyle name="Normal 12 3 6 2 3" xfId="12692" xr:uid="{88D641E4-DC34-48ED-8EB7-9CD8D861368E}"/>
    <cellStyle name="Normal 12 3 6 3" xfId="6323" xr:uid="{00000000-0005-0000-0000-0000410E0000}"/>
    <cellStyle name="Normal 12 3 6 3 2" xfId="14765" xr:uid="{F35222BE-D86D-406D-8F6B-E78C8DAB5B52}"/>
    <cellStyle name="Normal 12 3 6 4" xfId="10547" xr:uid="{3E66A50D-413E-4914-A23A-693839328655}"/>
    <cellStyle name="Normal 12 3 7" xfId="2452" xr:uid="{00000000-0005-0000-0000-0000420E0000}"/>
    <cellStyle name="Normal 12 3 7 2" xfId="6736" xr:uid="{00000000-0005-0000-0000-0000430E0000}"/>
    <cellStyle name="Normal 12 3 7 2 2" xfId="15178" xr:uid="{77ABC984-6019-4F92-B19E-3956C4A311EB}"/>
    <cellStyle name="Normal 12 3 7 3" xfId="10960" xr:uid="{C8EAE67F-B0AA-45E9-8A99-3439A460B16D}"/>
    <cellStyle name="Normal 12 3 8" xfId="4670" xr:uid="{00000000-0005-0000-0000-0000440E0000}"/>
    <cellStyle name="Normal 12 3 8 2" xfId="13112" xr:uid="{FAFFA90A-4984-44E9-B286-B617CC99AF02}"/>
    <cellStyle name="Normal 12 3 9" xfId="8894" xr:uid="{8CF821BA-009B-4969-B1D6-B6169E05B533}"/>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420887B1-5085-4E40-BD20-3E32D278CC9D}"/>
    <cellStyle name="Normal 12 4 2 2 3" xfId="11455" xr:uid="{2A3BFFE6-01C9-473A-8328-5437C83307EE}"/>
    <cellStyle name="Normal 12 4 2 3" xfId="5086" xr:uid="{00000000-0005-0000-0000-0000490E0000}"/>
    <cellStyle name="Normal 12 4 2 3 2" xfId="13528" xr:uid="{EF212C30-8D60-48FE-8339-46F5767DD2FF}"/>
    <cellStyle name="Normal 12 4 2 4" xfId="9310" xr:uid="{682E0EBC-988B-4BE3-BA55-C51A77351B75}"/>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743E0AA9-3ED0-4223-99BD-1919B263CA05}"/>
    <cellStyle name="Normal 12 4 3 2 3" xfId="11868" xr:uid="{F0BCCD6C-7E43-46A7-B034-B2D977D82D0C}"/>
    <cellStyle name="Normal 12 4 3 3" xfId="5499" xr:uid="{00000000-0005-0000-0000-00004D0E0000}"/>
    <cellStyle name="Normal 12 4 3 3 2" xfId="13941" xr:uid="{FAABF544-393F-4ED0-B236-57E22ECCD851}"/>
    <cellStyle name="Normal 12 4 3 4" xfId="9723" xr:uid="{AD44A59C-CDE7-4968-8A45-17CD08271237}"/>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2AF1F962-18C5-443F-A7F6-CC22ACFB5EBE}"/>
    <cellStyle name="Normal 12 4 4 2 3" xfId="12281" xr:uid="{8F7DB1D5-58EA-41DC-9C93-64EB588C8BB3}"/>
    <cellStyle name="Normal 12 4 4 3" xfId="5912" xr:uid="{00000000-0005-0000-0000-0000510E0000}"/>
    <cellStyle name="Normal 12 4 4 3 2" xfId="14354" xr:uid="{C50AD0FF-BDF3-417C-9E06-477319E35FB4}"/>
    <cellStyle name="Normal 12 4 4 4" xfId="10136" xr:uid="{251E7960-8755-4620-BFDB-3F059E597A57}"/>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D98C8669-FD9F-4FE6-B25D-122EFC24C980}"/>
    <cellStyle name="Normal 12 4 5 2 3" xfId="12694" xr:uid="{EB8BC63F-E21F-4CF1-9D66-0C32AC1577AE}"/>
    <cellStyle name="Normal 12 4 5 3" xfId="6325" xr:uid="{00000000-0005-0000-0000-0000550E0000}"/>
    <cellStyle name="Normal 12 4 5 3 2" xfId="14767" xr:uid="{8E0266B1-8953-446D-8EDF-AF8CE9B90A4E}"/>
    <cellStyle name="Normal 12 4 5 4" xfId="10549" xr:uid="{F8D0D90D-CF12-4CEE-9A05-D6A282254842}"/>
    <cellStyle name="Normal 12 4 6" xfId="2454" xr:uid="{00000000-0005-0000-0000-0000560E0000}"/>
    <cellStyle name="Normal 12 4 6 2" xfId="6738" xr:uid="{00000000-0005-0000-0000-0000570E0000}"/>
    <cellStyle name="Normal 12 4 6 2 2" xfId="15180" xr:uid="{0D218D00-6C17-4BF7-AEA3-9AC8560923DB}"/>
    <cellStyle name="Normal 12 4 6 3" xfId="10962" xr:uid="{9E446252-64C4-4AC9-AE9A-C0172382EBB7}"/>
    <cellStyle name="Normal 12 4 7" xfId="4672" xr:uid="{00000000-0005-0000-0000-0000580E0000}"/>
    <cellStyle name="Normal 12 4 7 2" xfId="13114" xr:uid="{CA73E6F7-C88A-4504-88EB-881842EA54AB}"/>
    <cellStyle name="Normal 12 4 8" xfId="8896" xr:uid="{47C412C5-EA0F-4815-BFE6-B62495269FDA}"/>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94E2B47F-F000-46C7-9779-5EF106F895E8}"/>
    <cellStyle name="Normal 12 6 2 3" xfId="11448" xr:uid="{A2A36F21-E97C-4DDE-9E1A-F09FFE624183}"/>
    <cellStyle name="Normal 12 6 3" xfId="5079" xr:uid="{00000000-0005-0000-0000-00005D0E0000}"/>
    <cellStyle name="Normal 12 6 3 2" xfId="13521" xr:uid="{A9649E57-E204-4809-866C-DAF1F9E71A10}"/>
    <cellStyle name="Normal 12 6 4" xfId="9303" xr:uid="{8C0575B7-1502-450A-8697-D9B40AD40122}"/>
    <cellStyle name="Normal 12 7" xfId="1183" xr:uid="{00000000-0005-0000-0000-00005E0E0000}"/>
    <cellStyle name="Normal 12 7 2" xfId="3414" xr:uid="{00000000-0005-0000-0000-00005F0E0000}"/>
    <cellStyle name="Normal 12 7 2 2" xfId="7637" xr:uid="{00000000-0005-0000-0000-0000600E0000}"/>
    <cellStyle name="Normal 12 7 2 2 2" xfId="16079" xr:uid="{C4FA6163-CAF3-4E72-B806-D305D6AFBE1E}"/>
    <cellStyle name="Normal 12 7 2 3" xfId="11861" xr:uid="{FEF4F0A9-F4A7-4F64-9F50-E0670D8BD592}"/>
    <cellStyle name="Normal 12 7 3" xfId="5492" xr:uid="{00000000-0005-0000-0000-0000610E0000}"/>
    <cellStyle name="Normal 12 7 3 2" xfId="13934" xr:uid="{C8EE6D58-BD99-4B83-98F2-C115A0EFED4C}"/>
    <cellStyle name="Normal 12 7 4" xfId="9716" xr:uid="{1B3CBD5F-5539-4CA9-8530-7C7AEA8381E4}"/>
    <cellStyle name="Normal 12 8" xfId="1597" xr:uid="{00000000-0005-0000-0000-0000620E0000}"/>
    <cellStyle name="Normal 12 8 2" xfId="3827" xr:uid="{00000000-0005-0000-0000-0000630E0000}"/>
    <cellStyle name="Normal 12 8 2 2" xfId="8050" xr:uid="{00000000-0005-0000-0000-0000640E0000}"/>
    <cellStyle name="Normal 12 8 2 2 2" xfId="16492" xr:uid="{86E6071A-3F17-44E7-9DF5-D229793E1F9E}"/>
    <cellStyle name="Normal 12 8 2 3" xfId="12274" xr:uid="{47E60ACC-8D54-45C8-ACAE-3F2C09628E3C}"/>
    <cellStyle name="Normal 12 8 3" xfId="5905" xr:uid="{00000000-0005-0000-0000-0000650E0000}"/>
    <cellStyle name="Normal 12 8 3 2" xfId="14347" xr:uid="{2E16DE41-6841-4603-81FD-BB4A48655AB8}"/>
    <cellStyle name="Normal 12 8 4" xfId="10129" xr:uid="{5A5F5169-C2BC-4383-969B-386C0A345A11}"/>
    <cellStyle name="Normal 12 9" xfId="2011" xr:uid="{00000000-0005-0000-0000-0000660E0000}"/>
    <cellStyle name="Normal 12 9 2" xfId="4240" xr:uid="{00000000-0005-0000-0000-0000670E0000}"/>
    <cellStyle name="Normal 12 9 2 2" xfId="8463" xr:uid="{00000000-0005-0000-0000-0000680E0000}"/>
    <cellStyle name="Normal 12 9 2 2 2" xfId="16905" xr:uid="{8E236C84-D3E6-49D4-A4F8-9F4AA041BEB8}"/>
    <cellStyle name="Normal 12 9 2 3" xfId="12687" xr:uid="{94B17F55-1539-416B-9D15-4F9E2717A446}"/>
    <cellStyle name="Normal 12 9 3" xfId="6318" xr:uid="{00000000-0005-0000-0000-0000690E0000}"/>
    <cellStyle name="Normal 12 9 3 2" xfId="14760" xr:uid="{5672153B-2F57-4F14-81F3-B25FC0BAE12C}"/>
    <cellStyle name="Normal 12 9 4" xfId="10542" xr:uid="{B90BCA72-3B70-4321-9DD5-ACFC25F841C9}"/>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D3E8D722-644D-41DB-AE51-34A2DFCD9BB0}"/>
    <cellStyle name="Normal 14 2 2 3" xfId="11456" xr:uid="{0AEB24F1-435E-411F-89C4-AB0B06E91528}"/>
    <cellStyle name="Normal 14 2 3" xfId="5087" xr:uid="{00000000-0005-0000-0000-0000700E0000}"/>
    <cellStyle name="Normal 14 2 3 2" xfId="13529" xr:uid="{1A8E4D16-C19B-4290-97EF-D4CECCFC852B}"/>
    <cellStyle name="Normal 14 2 4" xfId="9311" xr:uid="{501D7081-1856-4FE6-B912-CB7E3FE0763D}"/>
    <cellStyle name="Normal 14 3" xfId="1191" xr:uid="{00000000-0005-0000-0000-0000710E0000}"/>
    <cellStyle name="Normal 14 3 2" xfId="3422" xr:uid="{00000000-0005-0000-0000-0000720E0000}"/>
    <cellStyle name="Normal 14 3 2 2" xfId="7645" xr:uid="{00000000-0005-0000-0000-0000730E0000}"/>
    <cellStyle name="Normal 14 3 2 2 2" xfId="16087" xr:uid="{0FA6F2EA-F2CD-4590-A15A-7C8F0FFC8DE7}"/>
    <cellStyle name="Normal 14 3 2 3" xfId="11869" xr:uid="{B7D1CF4C-5FBF-4954-B140-8C209260F810}"/>
    <cellStyle name="Normal 14 3 3" xfId="5500" xr:uid="{00000000-0005-0000-0000-0000740E0000}"/>
    <cellStyle name="Normal 14 3 3 2" xfId="13942" xr:uid="{4F1F5CF3-F9D2-4971-AD4E-970C494DBEF8}"/>
    <cellStyle name="Normal 14 3 4" xfId="9724" xr:uid="{34F4D443-CD09-4187-9B20-A4A50BEF5463}"/>
    <cellStyle name="Normal 14 4" xfId="1605" xr:uid="{00000000-0005-0000-0000-0000750E0000}"/>
    <cellStyle name="Normal 14 4 2" xfId="3835" xr:uid="{00000000-0005-0000-0000-0000760E0000}"/>
    <cellStyle name="Normal 14 4 2 2" xfId="8058" xr:uid="{00000000-0005-0000-0000-0000770E0000}"/>
    <cellStyle name="Normal 14 4 2 2 2" xfId="16500" xr:uid="{77926C4F-0751-42EF-A42B-82E935223B07}"/>
    <cellStyle name="Normal 14 4 2 3" xfId="12282" xr:uid="{74A988B1-5321-494F-98FC-22C0868BAA47}"/>
    <cellStyle name="Normal 14 4 3" xfId="5913" xr:uid="{00000000-0005-0000-0000-0000780E0000}"/>
    <cellStyle name="Normal 14 4 3 2" xfId="14355" xr:uid="{054BE99C-2BC0-49D8-B007-5500ECB2A92F}"/>
    <cellStyle name="Normal 14 4 4" xfId="10137" xr:uid="{C8067A10-B7F7-4E06-95A7-FD8D570E6E3E}"/>
    <cellStyle name="Normal 14 5" xfId="2019" xr:uid="{00000000-0005-0000-0000-0000790E0000}"/>
    <cellStyle name="Normal 14 5 2" xfId="4248" xr:uid="{00000000-0005-0000-0000-00007A0E0000}"/>
    <cellStyle name="Normal 14 5 2 2" xfId="8471" xr:uid="{00000000-0005-0000-0000-00007B0E0000}"/>
    <cellStyle name="Normal 14 5 2 2 2" xfId="16913" xr:uid="{69BCD462-B873-4ED0-B4B3-61CB194AAFDD}"/>
    <cellStyle name="Normal 14 5 2 3" xfId="12695" xr:uid="{764A5678-7919-457A-B938-5EA348A16BD4}"/>
    <cellStyle name="Normal 14 5 3" xfId="6326" xr:uid="{00000000-0005-0000-0000-00007C0E0000}"/>
    <cellStyle name="Normal 14 5 3 2" xfId="14768" xr:uid="{93B6CB53-3A7E-460D-97F0-2EB281F7B0BC}"/>
    <cellStyle name="Normal 14 5 4" xfId="10550" xr:uid="{AA195174-621F-4C74-B7C8-18F9062E3C3D}"/>
    <cellStyle name="Normal 14 6" xfId="2455" xr:uid="{00000000-0005-0000-0000-00007D0E0000}"/>
    <cellStyle name="Normal 14 6 2" xfId="6739" xr:uid="{00000000-0005-0000-0000-00007E0E0000}"/>
    <cellStyle name="Normal 14 6 2 2" xfId="15181" xr:uid="{F12A2A21-265F-4469-A6B7-0A98CB3AD555}"/>
    <cellStyle name="Normal 14 6 3" xfId="10963" xr:uid="{B4C2E335-6492-4CBB-8A5F-78ED09AFD7FA}"/>
    <cellStyle name="Normal 14 7" xfId="4673" xr:uid="{00000000-0005-0000-0000-00007F0E0000}"/>
    <cellStyle name="Normal 14 7 2" xfId="13115" xr:uid="{9D9C30EC-D704-40A8-B9D7-5DC755A4D9B5}"/>
    <cellStyle name="Normal 14 8" xfId="8897" xr:uid="{8256F320-EAAC-4AF3-A928-6B5CAB82A310}"/>
    <cellStyle name="Normal 15" xfId="4496" xr:uid="{00000000-0005-0000-0000-0000800E0000}"/>
    <cellStyle name="Normal 15 2" xfId="12941" xr:uid="{379E91E0-29C1-43BF-84A9-7691F52C47F7}"/>
    <cellStyle name="Normal 16" xfId="4500" xr:uid="{00000000-0005-0000-0000-0000810E0000}"/>
    <cellStyle name="Normal 16 2" xfId="8716" xr:uid="{00000000-0005-0000-0000-0000820E0000}"/>
    <cellStyle name="Normal 16 2 2" xfId="17158" xr:uid="{CCFA1181-7E64-4262-9E73-623A74555BC6}"/>
    <cellStyle name="Normal 16 3" xfId="8719" xr:uid="{3DE1BEEB-61FA-4094-B10F-9E0444F68763}"/>
    <cellStyle name="Normal 16 3 2" xfId="8723" xr:uid="{FE0BC069-4698-40B2-814D-8E09719245E9}"/>
    <cellStyle name="Normal 16 3 2 2" xfId="8726" xr:uid="{D3E9609F-293A-4CFC-B194-1FF2F92D621D}"/>
    <cellStyle name="Normal 16 3 2 2 2" xfId="17167" xr:uid="{9512407E-BB01-4421-A9BC-B68B22D92A1D}"/>
    <cellStyle name="Normal 16 3 2 3" xfId="17164" xr:uid="{12FFA4C7-AC6A-4C3C-9847-94342CC5B443}"/>
    <cellStyle name="Normal 16 3 3" xfId="17161" xr:uid="{A8087386-4EFA-4071-AAF1-2ED33BF17EA9}"/>
    <cellStyle name="Normal 16 4" xfId="12944" xr:uid="{E3ADD743-286D-456F-8F7F-E847BF027A7B}"/>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3436290F-1AA1-46A7-A6AD-BEA1389492E5}"/>
    <cellStyle name="Normal 2 4 2 10 2 3" xfId="12696" xr:uid="{90CEBBE0-185F-4304-B84B-9F46EF59AF2C}"/>
    <cellStyle name="Normal 2 4 2 10 3" xfId="6327" xr:uid="{00000000-0005-0000-0000-0000910E0000}"/>
    <cellStyle name="Normal 2 4 2 10 3 2" xfId="14769" xr:uid="{C0196649-54F2-4507-8810-9BCDC8B0E61E}"/>
    <cellStyle name="Normal 2 4 2 10 4" xfId="10551" xr:uid="{E7A9D736-41E6-4563-B59C-BAF5EB9A3E8B}"/>
    <cellStyle name="Normal 2 4 2 11" xfId="2456" xr:uid="{00000000-0005-0000-0000-0000920E0000}"/>
    <cellStyle name="Normal 2 4 2 11 2" xfId="6740" xr:uid="{00000000-0005-0000-0000-0000930E0000}"/>
    <cellStyle name="Normal 2 4 2 11 2 2" xfId="15182" xr:uid="{4368A128-A3B2-4F74-9428-8F2B404F6436}"/>
    <cellStyle name="Normal 2 4 2 11 3" xfId="10964" xr:uid="{88CA1AFC-2DD1-44BF-90D2-2489BAB787D0}"/>
    <cellStyle name="Normal 2 4 2 12" xfId="4674" xr:uid="{00000000-0005-0000-0000-0000940E0000}"/>
    <cellStyle name="Normal 2 4 2 12 2" xfId="13116" xr:uid="{FBBD6D00-CCFE-4A02-BD3D-05F79C01542E}"/>
    <cellStyle name="Normal 2 4 2 13" xfId="8898" xr:uid="{A6C17A94-5EC1-4744-87C9-34DB6985415A}"/>
    <cellStyle name="Normal 2 4 2 2" xfId="280" xr:uid="{00000000-0005-0000-0000-0000950E0000}"/>
    <cellStyle name="Normal 2 4 2 3" xfId="281" xr:uid="{00000000-0005-0000-0000-0000960E0000}"/>
    <cellStyle name="Normal 2 4 2 3 10" xfId="4675" xr:uid="{00000000-0005-0000-0000-0000970E0000}"/>
    <cellStyle name="Normal 2 4 2 3 10 2" xfId="13117" xr:uid="{F2DAAD1F-2926-4FF9-B926-8367439B3841}"/>
    <cellStyle name="Normal 2 4 2 3 11" xfId="8899" xr:uid="{87DFF16F-7B4B-45F0-ABA1-4DE265DE3A64}"/>
    <cellStyle name="Normal 2 4 2 3 2" xfId="282" xr:uid="{00000000-0005-0000-0000-0000980E0000}"/>
    <cellStyle name="Normal 2 4 2 3 2 10" xfId="8900" xr:uid="{66670F2F-5C50-4A4C-9564-16D673812EDC}"/>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9123C693-2654-4983-B973-E231D2CEC216}"/>
    <cellStyle name="Normal 2 4 2 3 2 2 2 2 2 3" xfId="11461" xr:uid="{88EF6705-EF5A-4234-980B-89CCBB06AFA5}"/>
    <cellStyle name="Normal 2 4 2 3 2 2 2 2 3" xfId="5092" xr:uid="{00000000-0005-0000-0000-00009E0E0000}"/>
    <cellStyle name="Normal 2 4 2 3 2 2 2 2 3 2" xfId="13534" xr:uid="{C1933D87-AADA-406E-99A5-8DB899A6B4A4}"/>
    <cellStyle name="Normal 2 4 2 3 2 2 2 2 4" xfId="9316" xr:uid="{E2D69BDB-5D80-4743-9692-97D44C40812C}"/>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EB0645FD-1F9D-4E85-B8C9-3F544DD92CF2}"/>
    <cellStyle name="Normal 2 4 2 3 2 2 2 3 2 3" xfId="11874" xr:uid="{1973705A-A117-492F-9040-534F65EAC7C2}"/>
    <cellStyle name="Normal 2 4 2 3 2 2 2 3 3" xfId="5505" xr:uid="{00000000-0005-0000-0000-0000A20E0000}"/>
    <cellStyle name="Normal 2 4 2 3 2 2 2 3 3 2" xfId="13947" xr:uid="{4760E7E5-09D2-4521-9B36-54CDC9F3499C}"/>
    <cellStyle name="Normal 2 4 2 3 2 2 2 3 4" xfId="9729" xr:uid="{1DB7E153-8D68-4091-BBC7-F74B04B9FBDE}"/>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21C1E362-569D-423B-BBF1-F2666EC7B903}"/>
    <cellStyle name="Normal 2 4 2 3 2 2 2 4 2 3" xfId="12287" xr:uid="{E6C2390A-A2DE-4861-AFBE-447B9E627930}"/>
    <cellStyle name="Normal 2 4 2 3 2 2 2 4 3" xfId="5918" xr:uid="{00000000-0005-0000-0000-0000A60E0000}"/>
    <cellStyle name="Normal 2 4 2 3 2 2 2 4 3 2" xfId="14360" xr:uid="{D68EED04-F95F-4990-8307-7659C8D142E7}"/>
    <cellStyle name="Normal 2 4 2 3 2 2 2 4 4" xfId="10142" xr:uid="{23DBDDA8-00EF-4206-B40D-21605CA39564}"/>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030D6015-9350-4FA6-A4F8-123CCA460294}"/>
    <cellStyle name="Normal 2 4 2 3 2 2 2 5 2 3" xfId="12700" xr:uid="{29AE8A50-4BA7-4F32-B2C4-DF748D538E5D}"/>
    <cellStyle name="Normal 2 4 2 3 2 2 2 5 3" xfId="6331" xr:uid="{00000000-0005-0000-0000-0000AA0E0000}"/>
    <cellStyle name="Normal 2 4 2 3 2 2 2 5 3 2" xfId="14773" xr:uid="{16823522-FA17-4DB9-8D27-71E9E0CD38A3}"/>
    <cellStyle name="Normal 2 4 2 3 2 2 2 5 4" xfId="10555" xr:uid="{7171B159-80D8-468E-859A-85DC13CDAA7A}"/>
    <cellStyle name="Normal 2 4 2 3 2 2 2 6" xfId="2460" xr:uid="{00000000-0005-0000-0000-0000AB0E0000}"/>
    <cellStyle name="Normal 2 4 2 3 2 2 2 6 2" xfId="6744" xr:uid="{00000000-0005-0000-0000-0000AC0E0000}"/>
    <cellStyle name="Normal 2 4 2 3 2 2 2 6 2 2" xfId="15186" xr:uid="{D8AB19C5-889C-4864-8F2D-8A806EDC1996}"/>
    <cellStyle name="Normal 2 4 2 3 2 2 2 6 3" xfId="10968" xr:uid="{7FE67650-FAAC-416F-BD3F-E3FCAE828377}"/>
    <cellStyle name="Normal 2 4 2 3 2 2 2 7" xfId="4678" xr:uid="{00000000-0005-0000-0000-0000AD0E0000}"/>
    <cellStyle name="Normal 2 4 2 3 2 2 2 7 2" xfId="13120" xr:uid="{5C1749A9-D884-4249-8542-D9AFC5EFBE5D}"/>
    <cellStyle name="Normal 2 4 2 3 2 2 2 8" xfId="8902" xr:uid="{1CD89F46-64A5-43D0-BCCF-AB1C0EF31CA3}"/>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F5BC0465-A67D-4904-9069-3473697FAAC9}"/>
    <cellStyle name="Normal 2 4 2 3 2 2 3 2 3" xfId="11460" xr:uid="{080409D9-AA15-4CAF-91F8-F12BF0E1CC9D}"/>
    <cellStyle name="Normal 2 4 2 3 2 2 3 3" xfId="5091" xr:uid="{00000000-0005-0000-0000-0000B10E0000}"/>
    <cellStyle name="Normal 2 4 2 3 2 2 3 3 2" xfId="13533" xr:uid="{55949A40-1FEA-4737-9B60-D52F2D45F0F9}"/>
    <cellStyle name="Normal 2 4 2 3 2 2 3 4" xfId="9315" xr:uid="{42500469-3BA0-4824-A0C8-E2EFBC59FBE4}"/>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5B232C01-83F5-471E-8ADC-F46188DF39CC}"/>
    <cellStyle name="Normal 2 4 2 3 2 2 4 2 3" xfId="11873" xr:uid="{79F89248-6B3A-4D89-9B51-5CD73545E340}"/>
    <cellStyle name="Normal 2 4 2 3 2 2 4 3" xfId="5504" xr:uid="{00000000-0005-0000-0000-0000B50E0000}"/>
    <cellStyle name="Normal 2 4 2 3 2 2 4 3 2" xfId="13946" xr:uid="{F0BD78E4-91D6-4723-86EC-9D9B7A8FFE10}"/>
    <cellStyle name="Normal 2 4 2 3 2 2 4 4" xfId="9728" xr:uid="{0243F461-53F6-4597-87DC-F278465EB2C9}"/>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331BAD1E-0AB2-4BD6-B5AC-FE1773F3C2F8}"/>
    <cellStyle name="Normal 2 4 2 3 2 2 5 2 3" xfId="12286" xr:uid="{2DB905BB-4BF0-4F06-9919-A932D2E5636D}"/>
    <cellStyle name="Normal 2 4 2 3 2 2 5 3" xfId="5917" xr:uid="{00000000-0005-0000-0000-0000B90E0000}"/>
    <cellStyle name="Normal 2 4 2 3 2 2 5 3 2" xfId="14359" xr:uid="{27982589-B165-49DE-91F7-3E2C69DEB153}"/>
    <cellStyle name="Normal 2 4 2 3 2 2 5 4" xfId="10141" xr:uid="{86243F7A-185E-4BA9-B0B9-005D645192DA}"/>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F7886F44-36F1-4BC1-8E0B-17C7F369B20C}"/>
    <cellStyle name="Normal 2 4 2 3 2 2 6 2 3" xfId="12699" xr:uid="{B516BB43-AE60-403F-B20F-8399514B0761}"/>
    <cellStyle name="Normal 2 4 2 3 2 2 6 3" xfId="6330" xr:uid="{00000000-0005-0000-0000-0000BD0E0000}"/>
    <cellStyle name="Normal 2 4 2 3 2 2 6 3 2" xfId="14772" xr:uid="{0F0F27E8-65DA-43F9-B087-1B04248BBBC0}"/>
    <cellStyle name="Normal 2 4 2 3 2 2 6 4" xfId="10554" xr:uid="{A28678C0-F1D2-4D2A-B6CC-668472568555}"/>
    <cellStyle name="Normal 2 4 2 3 2 2 7" xfId="2459" xr:uid="{00000000-0005-0000-0000-0000BE0E0000}"/>
    <cellStyle name="Normal 2 4 2 3 2 2 7 2" xfId="6743" xr:uid="{00000000-0005-0000-0000-0000BF0E0000}"/>
    <cellStyle name="Normal 2 4 2 3 2 2 7 2 2" xfId="15185" xr:uid="{359DC9A0-255C-40E5-AA27-9B6E03753162}"/>
    <cellStyle name="Normal 2 4 2 3 2 2 7 3" xfId="10967" xr:uid="{78A91630-A1AD-4D81-A525-17C4FE0F565A}"/>
    <cellStyle name="Normal 2 4 2 3 2 2 8" xfId="4677" xr:uid="{00000000-0005-0000-0000-0000C00E0000}"/>
    <cellStyle name="Normal 2 4 2 3 2 2 8 2" xfId="13119" xr:uid="{A616A17E-7FA6-4493-B1F9-46B3D8CA93D5}"/>
    <cellStyle name="Normal 2 4 2 3 2 2 9" xfId="8901" xr:uid="{530D707F-C842-4E22-983A-968EA5DB45AF}"/>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D9D03FAD-BDB6-43D9-A7F9-9CD0B8E31070}"/>
    <cellStyle name="Normal 2 4 2 3 2 3 2 2 3" xfId="11462" xr:uid="{11833B09-6206-4759-B552-CFC02522EA9E}"/>
    <cellStyle name="Normal 2 4 2 3 2 3 2 3" xfId="5093" xr:uid="{00000000-0005-0000-0000-0000C50E0000}"/>
    <cellStyle name="Normal 2 4 2 3 2 3 2 3 2" xfId="13535" xr:uid="{0FDBBCAD-A5C6-4C8B-8921-A057CFF91691}"/>
    <cellStyle name="Normal 2 4 2 3 2 3 2 4" xfId="9317" xr:uid="{D3AD990D-CD4F-4A9A-ACAE-A03D71489077}"/>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7A7215FD-2359-48C7-A729-209704290785}"/>
    <cellStyle name="Normal 2 4 2 3 2 3 3 2 3" xfId="11875" xr:uid="{491AFA10-9055-4D63-B758-2AA1D96C158E}"/>
    <cellStyle name="Normal 2 4 2 3 2 3 3 3" xfId="5506" xr:uid="{00000000-0005-0000-0000-0000C90E0000}"/>
    <cellStyle name="Normal 2 4 2 3 2 3 3 3 2" xfId="13948" xr:uid="{4ED561F9-A1BC-44EF-88C3-493ED5EB56D0}"/>
    <cellStyle name="Normal 2 4 2 3 2 3 3 4" xfId="9730" xr:uid="{FEB3A627-9C65-4227-B832-81A75F8FC01E}"/>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AF259870-6BDF-44EA-B24A-CE16FD244715}"/>
    <cellStyle name="Normal 2 4 2 3 2 3 4 2 3" xfId="12288" xr:uid="{9D37526B-4799-4D7E-8CE8-434B621C7115}"/>
    <cellStyle name="Normal 2 4 2 3 2 3 4 3" xfId="5919" xr:uid="{00000000-0005-0000-0000-0000CD0E0000}"/>
    <cellStyle name="Normal 2 4 2 3 2 3 4 3 2" xfId="14361" xr:uid="{2489987B-A730-4AF8-9B66-93E9500B0BF0}"/>
    <cellStyle name="Normal 2 4 2 3 2 3 4 4" xfId="10143" xr:uid="{3FEC0ADE-8250-45E8-9EE2-422FC2D99778}"/>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2FB32D24-2793-45CE-A5F5-A6BF118449DE}"/>
    <cellStyle name="Normal 2 4 2 3 2 3 5 2 3" xfId="12701" xr:uid="{B6235558-2BD1-4CE1-ADFD-B3954966E277}"/>
    <cellStyle name="Normal 2 4 2 3 2 3 5 3" xfId="6332" xr:uid="{00000000-0005-0000-0000-0000D10E0000}"/>
    <cellStyle name="Normal 2 4 2 3 2 3 5 3 2" xfId="14774" xr:uid="{2C96EDEB-472E-46A9-8D69-F39E7DCA86A6}"/>
    <cellStyle name="Normal 2 4 2 3 2 3 5 4" xfId="10556" xr:uid="{F1461FE7-CF24-44FC-ADE7-96F9A1D8E173}"/>
    <cellStyle name="Normal 2 4 2 3 2 3 6" xfId="2461" xr:uid="{00000000-0005-0000-0000-0000D20E0000}"/>
    <cellStyle name="Normal 2 4 2 3 2 3 6 2" xfId="6745" xr:uid="{00000000-0005-0000-0000-0000D30E0000}"/>
    <cellStyle name="Normal 2 4 2 3 2 3 6 2 2" xfId="15187" xr:uid="{342653BB-DBF8-404E-82F3-A1060BBC479E}"/>
    <cellStyle name="Normal 2 4 2 3 2 3 6 3" xfId="10969" xr:uid="{511C5B98-1073-4076-BAC6-DD18481AC781}"/>
    <cellStyle name="Normal 2 4 2 3 2 3 7" xfId="4679" xr:uid="{00000000-0005-0000-0000-0000D40E0000}"/>
    <cellStyle name="Normal 2 4 2 3 2 3 7 2" xfId="13121" xr:uid="{39ADA267-0899-429F-B014-980B45DB8D6F}"/>
    <cellStyle name="Normal 2 4 2 3 2 3 8" xfId="8903" xr:uid="{E69EBFBE-F300-4833-AA1C-903B0AAE44B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045A034E-8D4D-4834-9659-B03670D9C8E3}"/>
    <cellStyle name="Normal 2 4 2 3 2 4 2 3" xfId="11459" xr:uid="{65E7671F-E52B-4421-96FA-4084AAD0DC65}"/>
    <cellStyle name="Normal 2 4 2 3 2 4 3" xfId="5090" xr:uid="{00000000-0005-0000-0000-0000D80E0000}"/>
    <cellStyle name="Normal 2 4 2 3 2 4 3 2" xfId="13532" xr:uid="{59D2761F-B49A-4E05-84F6-8B6BF79A0E7C}"/>
    <cellStyle name="Normal 2 4 2 3 2 4 4" xfId="9314" xr:uid="{CEC93CA8-69C6-4B61-A75F-AB6C54986009}"/>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625853AC-A1D3-419F-A9B4-0989235A5271}"/>
    <cellStyle name="Normal 2 4 2 3 2 5 2 3" xfId="11872" xr:uid="{CB737147-6C41-4C47-ACC5-3D4D805DBE7F}"/>
    <cellStyle name="Normal 2 4 2 3 2 5 3" xfId="5503" xr:uid="{00000000-0005-0000-0000-0000DC0E0000}"/>
    <cellStyle name="Normal 2 4 2 3 2 5 3 2" xfId="13945" xr:uid="{C587A22E-061E-4DD9-8495-1180EE44A9AC}"/>
    <cellStyle name="Normal 2 4 2 3 2 5 4" xfId="9727" xr:uid="{3ACC9560-D88D-4E83-8D83-B0BDC7CFE59D}"/>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C062D66E-1784-4729-81CC-3763A1B2DC12}"/>
    <cellStyle name="Normal 2 4 2 3 2 6 2 3" xfId="12285" xr:uid="{4C794FD6-F3F1-4E28-BC57-A71A89FB24F3}"/>
    <cellStyle name="Normal 2 4 2 3 2 6 3" xfId="5916" xr:uid="{00000000-0005-0000-0000-0000E00E0000}"/>
    <cellStyle name="Normal 2 4 2 3 2 6 3 2" xfId="14358" xr:uid="{3D43CFE2-BAE6-460E-B449-5F1C4EB6C4CE}"/>
    <cellStyle name="Normal 2 4 2 3 2 6 4" xfId="10140" xr:uid="{C86EB809-8AE1-4749-B734-A266E9513E8C}"/>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29D2613D-3877-49D0-B60F-EA1CE54B0D66}"/>
    <cellStyle name="Normal 2 4 2 3 2 7 2 3" xfId="12698" xr:uid="{7F3DE987-C30C-4A85-A19E-E2825EB6B971}"/>
    <cellStyle name="Normal 2 4 2 3 2 7 3" xfId="6329" xr:uid="{00000000-0005-0000-0000-0000E40E0000}"/>
    <cellStyle name="Normal 2 4 2 3 2 7 3 2" xfId="14771" xr:uid="{628B7357-839A-42FE-A55C-15BD2B843E51}"/>
    <cellStyle name="Normal 2 4 2 3 2 7 4" xfId="10553" xr:uid="{C011CC70-B8D8-4B16-8D82-09FF1736695E}"/>
    <cellStyle name="Normal 2 4 2 3 2 8" xfId="2458" xr:uid="{00000000-0005-0000-0000-0000E50E0000}"/>
    <cellStyle name="Normal 2 4 2 3 2 8 2" xfId="6742" xr:uid="{00000000-0005-0000-0000-0000E60E0000}"/>
    <cellStyle name="Normal 2 4 2 3 2 8 2 2" xfId="15184" xr:uid="{31380020-99D1-49C6-BFFA-C6B2F9C2CDE0}"/>
    <cellStyle name="Normal 2 4 2 3 2 8 3" xfId="10966" xr:uid="{4945D406-68D5-4F1A-9255-A93C3663AD98}"/>
    <cellStyle name="Normal 2 4 2 3 2 9" xfId="4676" xr:uid="{00000000-0005-0000-0000-0000E70E0000}"/>
    <cellStyle name="Normal 2 4 2 3 2 9 2" xfId="13118" xr:uid="{91DC796E-F512-4D37-BABC-195091468697}"/>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019B2FF4-4B53-4840-8352-83C7C45A4192}"/>
    <cellStyle name="Normal 2 4 2 3 3 2 2 2 3" xfId="11464" xr:uid="{44D2FD8E-7800-489D-9EDE-3CFBDE1D7B24}"/>
    <cellStyle name="Normal 2 4 2 3 3 2 2 3" xfId="5095" xr:uid="{00000000-0005-0000-0000-0000ED0E0000}"/>
    <cellStyle name="Normal 2 4 2 3 3 2 2 3 2" xfId="13537" xr:uid="{BF671C7F-1838-460F-8700-A2AA6C0D972B}"/>
    <cellStyle name="Normal 2 4 2 3 3 2 2 4" xfId="9319" xr:uid="{9FAFF7AC-B29F-4FDE-AC0A-63166FFDF0B6}"/>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364DE6FB-40ED-4503-BA40-B7BE2D9E6D02}"/>
    <cellStyle name="Normal 2 4 2 3 3 2 3 2 3" xfId="11877" xr:uid="{30D9E83A-6313-4238-A4D0-EE7E91ECABD2}"/>
    <cellStyle name="Normal 2 4 2 3 3 2 3 3" xfId="5508" xr:uid="{00000000-0005-0000-0000-0000F10E0000}"/>
    <cellStyle name="Normal 2 4 2 3 3 2 3 3 2" xfId="13950" xr:uid="{326682AB-A093-4873-8023-F0B162F40C38}"/>
    <cellStyle name="Normal 2 4 2 3 3 2 3 4" xfId="9732" xr:uid="{D3FF0DAF-AA91-4BFC-9721-B6563D374405}"/>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6A7E8F6E-BEA7-4E6B-8E2A-99B1FEF55C2D}"/>
    <cellStyle name="Normal 2 4 2 3 3 2 4 2 3" xfId="12290" xr:uid="{4314EBAC-D93F-4C8C-B31B-3E60D84AD790}"/>
    <cellStyle name="Normal 2 4 2 3 3 2 4 3" xfId="5921" xr:uid="{00000000-0005-0000-0000-0000F50E0000}"/>
    <cellStyle name="Normal 2 4 2 3 3 2 4 3 2" xfId="14363" xr:uid="{531C0517-8296-448D-9F77-6FC04CFFE76A}"/>
    <cellStyle name="Normal 2 4 2 3 3 2 4 4" xfId="10145" xr:uid="{DF7D3142-2482-487C-BF5E-D9592803A442}"/>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55BBF74C-88F7-457F-8B1B-6383384E6486}"/>
    <cellStyle name="Normal 2 4 2 3 3 2 5 2 3" xfId="12703" xr:uid="{317732C0-B2E4-4EA0-8376-B097CD7D4C22}"/>
    <cellStyle name="Normal 2 4 2 3 3 2 5 3" xfId="6334" xr:uid="{00000000-0005-0000-0000-0000F90E0000}"/>
    <cellStyle name="Normal 2 4 2 3 3 2 5 3 2" xfId="14776" xr:uid="{9A02EEA3-782A-449D-9E02-0B580373820C}"/>
    <cellStyle name="Normal 2 4 2 3 3 2 5 4" xfId="10558" xr:uid="{2FE6D228-6E42-4E6D-978B-1933AE27DC9A}"/>
    <cellStyle name="Normal 2 4 2 3 3 2 6" xfId="2463" xr:uid="{00000000-0005-0000-0000-0000FA0E0000}"/>
    <cellStyle name="Normal 2 4 2 3 3 2 6 2" xfId="6747" xr:uid="{00000000-0005-0000-0000-0000FB0E0000}"/>
    <cellStyle name="Normal 2 4 2 3 3 2 6 2 2" xfId="15189" xr:uid="{638D0BF7-5A29-4111-B9CB-0FAD96741CAC}"/>
    <cellStyle name="Normal 2 4 2 3 3 2 6 3" xfId="10971" xr:uid="{9CA3FA21-04D1-4C3C-A6EB-FDD6BF2FD18C}"/>
    <cellStyle name="Normal 2 4 2 3 3 2 7" xfId="4681" xr:uid="{00000000-0005-0000-0000-0000FC0E0000}"/>
    <cellStyle name="Normal 2 4 2 3 3 2 7 2" xfId="13123" xr:uid="{5C17C2F6-335F-4D49-B39E-1DD7E08156A4}"/>
    <cellStyle name="Normal 2 4 2 3 3 2 8" xfId="8905" xr:uid="{77586AD8-86D5-43B1-A611-51B68BB26283}"/>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0B0D4554-F326-4F40-BF6F-CB85901E4702}"/>
    <cellStyle name="Normal 2 4 2 3 3 3 2 3" xfId="11463" xr:uid="{798D9279-4C87-4C56-B0BA-15E871ADCC90}"/>
    <cellStyle name="Normal 2 4 2 3 3 3 3" xfId="5094" xr:uid="{00000000-0005-0000-0000-0000000F0000}"/>
    <cellStyle name="Normal 2 4 2 3 3 3 3 2" xfId="13536" xr:uid="{BE6021D9-2373-4E2D-81CF-65911A3473D5}"/>
    <cellStyle name="Normal 2 4 2 3 3 3 4" xfId="9318" xr:uid="{3000E66F-DEA0-47B6-A896-1657B7F4422B}"/>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C74CE6F8-BF9A-40B5-A59F-2252300DB392}"/>
    <cellStyle name="Normal 2 4 2 3 3 4 2 3" xfId="11876" xr:uid="{1ABFD143-5038-4942-81C3-96744CB3EBBE}"/>
    <cellStyle name="Normal 2 4 2 3 3 4 3" xfId="5507" xr:uid="{00000000-0005-0000-0000-0000040F0000}"/>
    <cellStyle name="Normal 2 4 2 3 3 4 3 2" xfId="13949" xr:uid="{ADE0C79D-7490-4F28-B22E-82346C1A5441}"/>
    <cellStyle name="Normal 2 4 2 3 3 4 4" xfId="9731" xr:uid="{D19B5B5C-4C20-4387-92C6-3611392F2959}"/>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645011AB-F556-400B-8626-D5B561CEB6E9}"/>
    <cellStyle name="Normal 2 4 2 3 3 5 2 3" xfId="12289" xr:uid="{9F3F5D5F-CC8D-48F5-99CB-33436F54B6E2}"/>
    <cellStyle name="Normal 2 4 2 3 3 5 3" xfId="5920" xr:uid="{00000000-0005-0000-0000-0000080F0000}"/>
    <cellStyle name="Normal 2 4 2 3 3 5 3 2" xfId="14362" xr:uid="{3E8A008A-C0C4-45B1-83AC-3DCB234AC695}"/>
    <cellStyle name="Normal 2 4 2 3 3 5 4" xfId="10144" xr:uid="{17C1540F-75DA-4B7A-A5E8-B72BE57C23CB}"/>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13A896DC-645F-43AA-9EED-01A874324489}"/>
    <cellStyle name="Normal 2 4 2 3 3 6 2 3" xfId="12702" xr:uid="{EC46DAEA-F95E-4F48-B18F-662F49C140CA}"/>
    <cellStyle name="Normal 2 4 2 3 3 6 3" xfId="6333" xr:uid="{00000000-0005-0000-0000-00000C0F0000}"/>
    <cellStyle name="Normal 2 4 2 3 3 6 3 2" xfId="14775" xr:uid="{F8F3BAD5-FE47-4150-8498-171F29976E4E}"/>
    <cellStyle name="Normal 2 4 2 3 3 6 4" xfId="10557" xr:uid="{AD392DFD-9C39-4447-806B-F5654C890AC4}"/>
    <cellStyle name="Normal 2 4 2 3 3 7" xfId="2462" xr:uid="{00000000-0005-0000-0000-00000D0F0000}"/>
    <cellStyle name="Normal 2 4 2 3 3 7 2" xfId="6746" xr:uid="{00000000-0005-0000-0000-00000E0F0000}"/>
    <cellStyle name="Normal 2 4 2 3 3 7 2 2" xfId="15188" xr:uid="{EAB1E6CE-8604-43EA-9353-8806FCDE9C3C}"/>
    <cellStyle name="Normal 2 4 2 3 3 7 3" xfId="10970" xr:uid="{EE4E84F4-455F-47EF-827C-C30903CB4868}"/>
    <cellStyle name="Normal 2 4 2 3 3 8" xfId="4680" xr:uid="{00000000-0005-0000-0000-00000F0F0000}"/>
    <cellStyle name="Normal 2 4 2 3 3 8 2" xfId="13122" xr:uid="{B869AB21-DBE8-438C-8275-66327B8E6D89}"/>
    <cellStyle name="Normal 2 4 2 3 3 9" xfId="8904" xr:uid="{D09E74CD-79B1-43FF-80DB-10BBB9DAC157}"/>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9DA9FE00-B628-4574-945B-B41889FFB78D}"/>
    <cellStyle name="Normal 2 4 2 3 4 2 2 3" xfId="11465" xr:uid="{A20EB8C3-2312-4CDD-BB9C-C06814E2DD69}"/>
    <cellStyle name="Normal 2 4 2 3 4 2 3" xfId="5096" xr:uid="{00000000-0005-0000-0000-0000140F0000}"/>
    <cellStyle name="Normal 2 4 2 3 4 2 3 2" xfId="13538" xr:uid="{048B9585-A05B-42A6-BF08-C2F2A5845C1D}"/>
    <cellStyle name="Normal 2 4 2 3 4 2 4" xfId="9320" xr:uid="{3010EA2E-905B-404D-9949-FB1693E2F34A}"/>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ECD27035-23A7-471E-AFBE-506C4A74F659}"/>
    <cellStyle name="Normal 2 4 2 3 4 3 2 3" xfId="11878" xr:uid="{D47A2435-7F78-408A-B48C-1D6BEEE9F9E9}"/>
    <cellStyle name="Normal 2 4 2 3 4 3 3" xfId="5509" xr:uid="{00000000-0005-0000-0000-0000180F0000}"/>
    <cellStyle name="Normal 2 4 2 3 4 3 3 2" xfId="13951" xr:uid="{4198F3AC-58AF-48BF-989C-7B8A559E6EB9}"/>
    <cellStyle name="Normal 2 4 2 3 4 3 4" xfId="9733" xr:uid="{E3EDBB46-49A3-48E6-B3FF-90F01F147BB2}"/>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81E8228E-3F27-448D-A29E-18D7B61902E7}"/>
    <cellStyle name="Normal 2 4 2 3 4 4 2 3" xfId="12291" xr:uid="{7209D8A8-C351-4B15-A552-46FA4CB8AC91}"/>
    <cellStyle name="Normal 2 4 2 3 4 4 3" xfId="5922" xr:uid="{00000000-0005-0000-0000-00001C0F0000}"/>
    <cellStyle name="Normal 2 4 2 3 4 4 3 2" xfId="14364" xr:uid="{58502E26-4B16-4E02-BEC8-ADCAF17FF9A6}"/>
    <cellStyle name="Normal 2 4 2 3 4 4 4" xfId="10146" xr:uid="{A127D2D0-BEAB-4BD3-A221-8F7661E7A5F7}"/>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2224C758-172A-4A52-8F9D-81E90605C8C2}"/>
    <cellStyle name="Normal 2 4 2 3 4 5 2 3" xfId="12704" xr:uid="{996A1583-FE48-42D9-84F6-9EA566089142}"/>
    <cellStyle name="Normal 2 4 2 3 4 5 3" xfId="6335" xr:uid="{00000000-0005-0000-0000-0000200F0000}"/>
    <cellStyle name="Normal 2 4 2 3 4 5 3 2" xfId="14777" xr:uid="{87BEE39F-126F-448C-91B8-AEAE0727C69C}"/>
    <cellStyle name="Normal 2 4 2 3 4 5 4" xfId="10559" xr:uid="{0B023986-CDB8-49D0-B6CB-711026761183}"/>
    <cellStyle name="Normal 2 4 2 3 4 6" xfId="2464" xr:uid="{00000000-0005-0000-0000-0000210F0000}"/>
    <cellStyle name="Normal 2 4 2 3 4 6 2" xfId="6748" xr:uid="{00000000-0005-0000-0000-0000220F0000}"/>
    <cellStyle name="Normal 2 4 2 3 4 6 2 2" xfId="15190" xr:uid="{3FC33445-1F1F-4E96-9CA9-C8142861EC78}"/>
    <cellStyle name="Normal 2 4 2 3 4 6 3" xfId="10972" xr:uid="{160AB5E0-2E94-468F-A572-A7381B868915}"/>
    <cellStyle name="Normal 2 4 2 3 4 7" xfId="4682" xr:uid="{00000000-0005-0000-0000-0000230F0000}"/>
    <cellStyle name="Normal 2 4 2 3 4 7 2" xfId="13124" xr:uid="{AB7DF26A-2FC4-4E9D-8F6D-82EAF542325F}"/>
    <cellStyle name="Normal 2 4 2 3 4 8" xfId="8906" xr:uid="{7E1DFABA-5E5D-4750-90A1-09B56B886E64}"/>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6F76B822-6C03-4381-83B2-B3A718052016}"/>
    <cellStyle name="Normal 2 4 2 3 5 2 3" xfId="11458" xr:uid="{7DB67874-EC9A-4590-B63F-2B7094A6F3C5}"/>
    <cellStyle name="Normal 2 4 2 3 5 3" xfId="5089" xr:uid="{00000000-0005-0000-0000-0000270F0000}"/>
    <cellStyle name="Normal 2 4 2 3 5 3 2" xfId="13531" xr:uid="{E7ABFEDC-C436-4327-8B1F-48B4009674BA}"/>
    <cellStyle name="Normal 2 4 2 3 5 4" xfId="9313" xr:uid="{37700822-B55C-4287-A69E-8C2458DB7A87}"/>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00C2E82E-F32D-4048-80D3-60D28D683152}"/>
    <cellStyle name="Normal 2 4 2 3 6 2 3" xfId="11871" xr:uid="{7A62E549-3617-4F26-9B61-27C6A4A153F3}"/>
    <cellStyle name="Normal 2 4 2 3 6 3" xfId="5502" xr:uid="{00000000-0005-0000-0000-00002B0F0000}"/>
    <cellStyle name="Normal 2 4 2 3 6 3 2" xfId="13944" xr:uid="{3E38DC12-D0F3-49C0-9D94-B6C6558E2F4F}"/>
    <cellStyle name="Normal 2 4 2 3 6 4" xfId="9726" xr:uid="{05A04403-C69F-4802-A7A6-4F67932BC41F}"/>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89A845B4-31AC-4A14-B08E-614F6BA9AB0D}"/>
    <cellStyle name="Normal 2 4 2 3 7 2 3" xfId="12284" xr:uid="{CA4C1A8F-2F06-4791-BBA9-F5F663CC386D}"/>
    <cellStyle name="Normal 2 4 2 3 7 3" xfId="5915" xr:uid="{00000000-0005-0000-0000-00002F0F0000}"/>
    <cellStyle name="Normal 2 4 2 3 7 3 2" xfId="14357" xr:uid="{0106E97B-D9A6-4C13-93E7-FE293AD7ED40}"/>
    <cellStyle name="Normal 2 4 2 3 7 4" xfId="10139" xr:uid="{CC583BDB-8D5F-4313-AA77-5B11E4863065}"/>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A66F42EE-9A46-4BDB-9087-97C18ADC88A8}"/>
    <cellStyle name="Normal 2 4 2 3 8 2 3" xfId="12697" xr:uid="{F1A1F9EF-F5E2-4CEC-AE4D-2A16B9EB654E}"/>
    <cellStyle name="Normal 2 4 2 3 8 3" xfId="6328" xr:uid="{00000000-0005-0000-0000-0000330F0000}"/>
    <cellStyle name="Normal 2 4 2 3 8 3 2" xfId="14770" xr:uid="{B5486D7F-CDC2-41A8-BFAB-FBE25895D994}"/>
    <cellStyle name="Normal 2 4 2 3 8 4" xfId="10552" xr:uid="{4EFF6E3E-C5EF-4FCD-8B5E-FC6C060CEDF5}"/>
    <cellStyle name="Normal 2 4 2 3 9" xfId="2457" xr:uid="{00000000-0005-0000-0000-0000340F0000}"/>
    <cellStyle name="Normal 2 4 2 3 9 2" xfId="6741" xr:uid="{00000000-0005-0000-0000-0000350F0000}"/>
    <cellStyle name="Normal 2 4 2 3 9 2 2" xfId="15183" xr:uid="{956DF497-C969-47BE-ABA7-79AD7A18B71D}"/>
    <cellStyle name="Normal 2 4 2 3 9 3" xfId="10965" xr:uid="{D75DB965-FBD4-4CDB-B182-6BD62E75956E}"/>
    <cellStyle name="Normal 2 4 2 4" xfId="289" xr:uid="{00000000-0005-0000-0000-0000360F0000}"/>
    <cellStyle name="Normal 2 4 2 4 10" xfId="8907" xr:uid="{71E8ABA6-A17B-4DE7-8E75-EF23EF89FBA4}"/>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386C8E49-F9FC-4580-BDFD-3D49B27044C2}"/>
    <cellStyle name="Normal 2 4 2 4 2 2 2 2 3" xfId="11468" xr:uid="{0FB8042E-F06E-422B-B0A2-4348BC5601AF}"/>
    <cellStyle name="Normal 2 4 2 4 2 2 2 3" xfId="5099" xr:uid="{00000000-0005-0000-0000-00003C0F0000}"/>
    <cellStyle name="Normal 2 4 2 4 2 2 2 3 2" xfId="13541" xr:uid="{2DA3D94F-EE64-49F4-9A95-72C1D286C56C}"/>
    <cellStyle name="Normal 2 4 2 4 2 2 2 4" xfId="9323" xr:uid="{71DD0A39-74C5-4B62-B647-3C006941EFF9}"/>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2CFFCB05-76D3-48C6-A9F0-56374D265050}"/>
    <cellStyle name="Normal 2 4 2 4 2 2 3 2 3" xfId="11881" xr:uid="{1271B63A-2D5B-4096-B1CC-545F17A949E6}"/>
    <cellStyle name="Normal 2 4 2 4 2 2 3 3" xfId="5512" xr:uid="{00000000-0005-0000-0000-0000400F0000}"/>
    <cellStyle name="Normal 2 4 2 4 2 2 3 3 2" xfId="13954" xr:uid="{2195BFF8-1611-48E2-B179-D81E1A4C31FA}"/>
    <cellStyle name="Normal 2 4 2 4 2 2 3 4" xfId="9736" xr:uid="{111EB11B-22EF-4BBC-A372-74EEFDED2581}"/>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D42D274D-333B-4E4C-8253-0BCD1926E266}"/>
    <cellStyle name="Normal 2 4 2 4 2 2 4 2 3" xfId="12294" xr:uid="{7AA44475-C83E-49F5-9C51-266C680A864F}"/>
    <cellStyle name="Normal 2 4 2 4 2 2 4 3" xfId="5925" xr:uid="{00000000-0005-0000-0000-0000440F0000}"/>
    <cellStyle name="Normal 2 4 2 4 2 2 4 3 2" xfId="14367" xr:uid="{86518316-6084-4302-8E9C-F90501497F0D}"/>
    <cellStyle name="Normal 2 4 2 4 2 2 4 4" xfId="10149" xr:uid="{F72C8628-48DB-4AA9-98D5-D6861D267105}"/>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C1DF424A-812F-4213-8C32-DC7AA441BE93}"/>
    <cellStyle name="Normal 2 4 2 4 2 2 5 2 3" xfId="12707" xr:uid="{1C3E5591-FAC1-4D51-874D-69EA02E7058E}"/>
    <cellStyle name="Normal 2 4 2 4 2 2 5 3" xfId="6338" xr:uid="{00000000-0005-0000-0000-0000480F0000}"/>
    <cellStyle name="Normal 2 4 2 4 2 2 5 3 2" xfId="14780" xr:uid="{6F424CEF-7CEB-420A-B628-CD1F866A6EBF}"/>
    <cellStyle name="Normal 2 4 2 4 2 2 5 4" xfId="10562" xr:uid="{519A0964-39EE-447D-96F1-91E258156571}"/>
    <cellStyle name="Normal 2 4 2 4 2 2 6" xfId="2467" xr:uid="{00000000-0005-0000-0000-0000490F0000}"/>
    <cellStyle name="Normal 2 4 2 4 2 2 6 2" xfId="6751" xr:uid="{00000000-0005-0000-0000-00004A0F0000}"/>
    <cellStyle name="Normal 2 4 2 4 2 2 6 2 2" xfId="15193" xr:uid="{7CFFEE81-117F-4A01-BCA1-9E5DF8AB89F4}"/>
    <cellStyle name="Normal 2 4 2 4 2 2 6 3" xfId="10975" xr:uid="{0B7B5E4F-9709-4139-92CA-619E24A9789F}"/>
    <cellStyle name="Normal 2 4 2 4 2 2 7" xfId="4685" xr:uid="{00000000-0005-0000-0000-00004B0F0000}"/>
    <cellStyle name="Normal 2 4 2 4 2 2 7 2" xfId="13127" xr:uid="{59545176-170E-48F9-A677-095F97AA245D}"/>
    <cellStyle name="Normal 2 4 2 4 2 2 8" xfId="8909" xr:uid="{87D39ACC-439E-49EC-98FD-F89FC8F1FDEF}"/>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2F04E3C8-E964-4A0E-BF76-5A539ED76C29}"/>
    <cellStyle name="Normal 2 4 2 4 2 3 2 3" xfId="11467" xr:uid="{1F4351E2-5D67-4851-A72E-4036211B0CCC}"/>
    <cellStyle name="Normal 2 4 2 4 2 3 3" xfId="5098" xr:uid="{00000000-0005-0000-0000-00004F0F0000}"/>
    <cellStyle name="Normal 2 4 2 4 2 3 3 2" xfId="13540" xr:uid="{8EFE735C-C479-4730-BC71-5DB56A2C185B}"/>
    <cellStyle name="Normal 2 4 2 4 2 3 4" xfId="9322" xr:uid="{1B9B9A0D-7372-4E68-B529-D71833FD6433}"/>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C0AA201C-55AB-4890-B403-AF7F04664782}"/>
    <cellStyle name="Normal 2 4 2 4 2 4 2 3" xfId="11880" xr:uid="{1764C90C-FFA7-4146-9520-20F8EF8DCE2B}"/>
    <cellStyle name="Normal 2 4 2 4 2 4 3" xfId="5511" xr:uid="{00000000-0005-0000-0000-0000530F0000}"/>
    <cellStyle name="Normal 2 4 2 4 2 4 3 2" xfId="13953" xr:uid="{2EB23CEE-368F-4365-8D23-0FB1D8081B2D}"/>
    <cellStyle name="Normal 2 4 2 4 2 4 4" xfId="9735" xr:uid="{DD89CC29-BA00-4C83-A3D1-1DBEE8810E25}"/>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006BDF57-C912-43C1-A767-C03DF08B4CAE}"/>
    <cellStyle name="Normal 2 4 2 4 2 5 2 3" xfId="12293" xr:uid="{C24F441F-C21B-4895-8D2A-B6F762EBD5B2}"/>
    <cellStyle name="Normal 2 4 2 4 2 5 3" xfId="5924" xr:uid="{00000000-0005-0000-0000-0000570F0000}"/>
    <cellStyle name="Normal 2 4 2 4 2 5 3 2" xfId="14366" xr:uid="{5F5D087D-4810-4CFE-BE13-D89EC8E3D172}"/>
    <cellStyle name="Normal 2 4 2 4 2 5 4" xfId="10148" xr:uid="{D968F392-BAB6-4166-AE29-1C636910F859}"/>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43B7CB84-B522-4965-8989-6E58F6600602}"/>
    <cellStyle name="Normal 2 4 2 4 2 6 2 3" xfId="12706" xr:uid="{0743F8D3-ACA9-45DC-B5F0-63B60A7258F3}"/>
    <cellStyle name="Normal 2 4 2 4 2 6 3" xfId="6337" xr:uid="{00000000-0005-0000-0000-00005B0F0000}"/>
    <cellStyle name="Normal 2 4 2 4 2 6 3 2" xfId="14779" xr:uid="{54F47ED8-007D-4F7E-8439-525B734CE688}"/>
    <cellStyle name="Normal 2 4 2 4 2 6 4" xfId="10561" xr:uid="{BED6CE3A-EF63-4D6D-A337-48614AAC7D8A}"/>
    <cellStyle name="Normal 2 4 2 4 2 7" xfId="2466" xr:uid="{00000000-0005-0000-0000-00005C0F0000}"/>
    <cellStyle name="Normal 2 4 2 4 2 7 2" xfId="6750" xr:uid="{00000000-0005-0000-0000-00005D0F0000}"/>
    <cellStyle name="Normal 2 4 2 4 2 7 2 2" xfId="15192" xr:uid="{BF486C9E-5FE2-42F0-97D2-33117708E7B8}"/>
    <cellStyle name="Normal 2 4 2 4 2 7 3" xfId="10974" xr:uid="{9B5F59ED-BA03-4E7A-B80E-75E08B864B05}"/>
    <cellStyle name="Normal 2 4 2 4 2 8" xfId="4684" xr:uid="{00000000-0005-0000-0000-00005E0F0000}"/>
    <cellStyle name="Normal 2 4 2 4 2 8 2" xfId="13126" xr:uid="{B59957E0-0C75-4511-A0EF-3AB6C01A815B}"/>
    <cellStyle name="Normal 2 4 2 4 2 9" xfId="8908" xr:uid="{F0E26EE9-F896-47F4-9D64-CB7EF8D5F01E}"/>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7737DFE0-49DF-479A-AB8C-851B65BE144D}"/>
    <cellStyle name="Normal 2 4 2 4 3 2 2 3" xfId="11469" xr:uid="{C827B8CA-73B0-4451-B3B7-D2F25F69FD97}"/>
    <cellStyle name="Normal 2 4 2 4 3 2 3" xfId="5100" xr:uid="{00000000-0005-0000-0000-0000630F0000}"/>
    <cellStyle name="Normal 2 4 2 4 3 2 3 2" xfId="13542" xr:uid="{4DCD2EE2-5CF7-4AC4-9581-5985184B5106}"/>
    <cellStyle name="Normal 2 4 2 4 3 2 4" xfId="9324" xr:uid="{645489D8-7A6A-4CF9-BBC9-EE8E69B5D069}"/>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3D7EBF2A-6795-45F1-982B-5E0EDE3B3374}"/>
    <cellStyle name="Normal 2 4 2 4 3 3 2 3" xfId="11882" xr:uid="{004B9FE1-E64A-4CE3-862E-5B833D0E0997}"/>
    <cellStyle name="Normal 2 4 2 4 3 3 3" xfId="5513" xr:uid="{00000000-0005-0000-0000-0000670F0000}"/>
    <cellStyle name="Normal 2 4 2 4 3 3 3 2" xfId="13955" xr:uid="{C29C4D35-4CE8-4B03-9F3D-62E37503415C}"/>
    <cellStyle name="Normal 2 4 2 4 3 3 4" xfId="9737" xr:uid="{56308C93-969E-4499-9EAD-40356A26A8E4}"/>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A85CB4E8-6D09-4A15-9432-5F6F4EDDAF4D}"/>
    <cellStyle name="Normal 2 4 2 4 3 4 2 3" xfId="12295" xr:uid="{271D3BD7-9901-4084-B6C8-BE046759D6BF}"/>
    <cellStyle name="Normal 2 4 2 4 3 4 3" xfId="5926" xr:uid="{00000000-0005-0000-0000-00006B0F0000}"/>
    <cellStyle name="Normal 2 4 2 4 3 4 3 2" xfId="14368" xr:uid="{062912A4-C5C8-45A9-BFE2-BB423F9D374D}"/>
    <cellStyle name="Normal 2 4 2 4 3 4 4" xfId="10150" xr:uid="{DF913AF9-FC78-456B-B322-DD309BA74C5E}"/>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84EC42A2-37E4-4BE4-8CF0-FC111A3C2AF6}"/>
    <cellStyle name="Normal 2 4 2 4 3 5 2 3" xfId="12708" xr:uid="{522D4F48-502C-4E97-96AC-C36DBE02F3D3}"/>
    <cellStyle name="Normal 2 4 2 4 3 5 3" xfId="6339" xr:uid="{00000000-0005-0000-0000-00006F0F0000}"/>
    <cellStyle name="Normal 2 4 2 4 3 5 3 2" xfId="14781" xr:uid="{492FA85E-E20E-4018-8990-CF455340D883}"/>
    <cellStyle name="Normal 2 4 2 4 3 5 4" xfId="10563" xr:uid="{1760D5DD-DC9A-4B2A-A1BF-A7C86BB22289}"/>
    <cellStyle name="Normal 2 4 2 4 3 6" xfId="2468" xr:uid="{00000000-0005-0000-0000-0000700F0000}"/>
    <cellStyle name="Normal 2 4 2 4 3 6 2" xfId="6752" xr:uid="{00000000-0005-0000-0000-0000710F0000}"/>
    <cellStyle name="Normal 2 4 2 4 3 6 2 2" xfId="15194" xr:uid="{A99D44CF-A5E2-4A00-9441-7ED074532921}"/>
    <cellStyle name="Normal 2 4 2 4 3 6 3" xfId="10976" xr:uid="{E8C11282-4984-4C28-BFEB-0B4FD5B9F9BB}"/>
    <cellStyle name="Normal 2 4 2 4 3 7" xfId="4686" xr:uid="{00000000-0005-0000-0000-0000720F0000}"/>
    <cellStyle name="Normal 2 4 2 4 3 7 2" xfId="13128" xr:uid="{E647FB9D-36B7-4075-B073-586334959DD1}"/>
    <cellStyle name="Normal 2 4 2 4 3 8" xfId="8910" xr:uid="{9FCFBE38-D6FB-4AD3-89DD-1E19FD7DFF5B}"/>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E67043DF-3485-4E58-B1A8-5B9C2FD04542}"/>
    <cellStyle name="Normal 2 4 2 4 4 2 3" xfId="11466" xr:uid="{2F0388B1-ABBA-42BF-8AD3-2A212F803397}"/>
    <cellStyle name="Normal 2 4 2 4 4 3" xfId="5097" xr:uid="{00000000-0005-0000-0000-0000760F0000}"/>
    <cellStyle name="Normal 2 4 2 4 4 3 2" xfId="13539" xr:uid="{99EA02A6-404D-43A4-885F-E120FFCE96BF}"/>
    <cellStyle name="Normal 2 4 2 4 4 4" xfId="9321" xr:uid="{027C9E79-D71F-4C18-92E1-4A27A472B7A0}"/>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0A4B8D0E-AB98-42B6-BA7D-2D16622E4FF4}"/>
    <cellStyle name="Normal 2 4 2 4 5 2 3" xfId="11879" xr:uid="{ECEAEAC4-2F48-43CA-8915-161BFFE188EF}"/>
    <cellStyle name="Normal 2 4 2 4 5 3" xfId="5510" xr:uid="{00000000-0005-0000-0000-00007A0F0000}"/>
    <cellStyle name="Normal 2 4 2 4 5 3 2" xfId="13952" xr:uid="{F16AC123-0503-4A6E-99BA-32F728BDC8F1}"/>
    <cellStyle name="Normal 2 4 2 4 5 4" xfId="9734" xr:uid="{834DD9D7-3313-492A-A07A-D65400B3C9FC}"/>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CD8C23D4-82BF-496D-9AEB-8F2B24C31726}"/>
    <cellStyle name="Normal 2 4 2 4 6 2 3" xfId="12292" xr:uid="{1E88B092-6398-4B9E-8E20-FDF2FF85A500}"/>
    <cellStyle name="Normal 2 4 2 4 6 3" xfId="5923" xr:uid="{00000000-0005-0000-0000-00007E0F0000}"/>
    <cellStyle name="Normal 2 4 2 4 6 3 2" xfId="14365" xr:uid="{E3DE04A9-AEE0-450F-88BD-C92249CDF7E5}"/>
    <cellStyle name="Normal 2 4 2 4 6 4" xfId="10147" xr:uid="{E228670F-C88C-4387-A059-A18B16538239}"/>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8D9452DE-450F-4AEE-9E25-18E3EE8FE147}"/>
    <cellStyle name="Normal 2 4 2 4 7 2 3" xfId="12705" xr:uid="{ED98C65C-4572-463B-8963-50C0FA706BAA}"/>
    <cellStyle name="Normal 2 4 2 4 7 3" xfId="6336" xr:uid="{00000000-0005-0000-0000-0000820F0000}"/>
    <cellStyle name="Normal 2 4 2 4 7 3 2" xfId="14778" xr:uid="{F9466C77-698F-4EB1-80A5-E3398B68085B}"/>
    <cellStyle name="Normal 2 4 2 4 7 4" xfId="10560" xr:uid="{6A78DCE9-C976-4068-95AE-5520F4D84AED}"/>
    <cellStyle name="Normal 2 4 2 4 8" xfId="2465" xr:uid="{00000000-0005-0000-0000-0000830F0000}"/>
    <cellStyle name="Normal 2 4 2 4 8 2" xfId="6749" xr:uid="{00000000-0005-0000-0000-0000840F0000}"/>
    <cellStyle name="Normal 2 4 2 4 8 2 2" xfId="15191" xr:uid="{90A126E4-401B-4920-84F9-7A3C6155BD81}"/>
    <cellStyle name="Normal 2 4 2 4 8 3" xfId="10973" xr:uid="{A91621B6-9BA4-41AB-95EB-6F902E5AF68C}"/>
    <cellStyle name="Normal 2 4 2 4 9" xfId="4683" xr:uid="{00000000-0005-0000-0000-0000850F0000}"/>
    <cellStyle name="Normal 2 4 2 4 9 2" xfId="13125" xr:uid="{678451D6-49D4-4881-9BBE-BDB78A02A8F4}"/>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7F529B7B-41AB-4F1F-BC74-9BCC06D0A1EF}"/>
    <cellStyle name="Normal 2 4 2 5 2 2 2 3" xfId="11471" xr:uid="{AA4F738D-E6A7-44ED-99D4-CB78084A4AC7}"/>
    <cellStyle name="Normal 2 4 2 5 2 2 3" xfId="5102" xr:uid="{00000000-0005-0000-0000-00008B0F0000}"/>
    <cellStyle name="Normal 2 4 2 5 2 2 3 2" xfId="13544" xr:uid="{57CF9806-CB3E-4214-930F-B488D7018AA6}"/>
    <cellStyle name="Normal 2 4 2 5 2 2 4" xfId="9326" xr:uid="{48F773D1-150B-4481-A10C-9F9912C6A2C4}"/>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530A3FEB-41A2-4066-B907-2CE13A81C12E}"/>
    <cellStyle name="Normal 2 4 2 5 2 3 2 3" xfId="11884" xr:uid="{DDCADF2B-0EB9-48E7-9171-BC3B02FAEBA4}"/>
    <cellStyle name="Normal 2 4 2 5 2 3 3" xfId="5515" xr:uid="{00000000-0005-0000-0000-00008F0F0000}"/>
    <cellStyle name="Normal 2 4 2 5 2 3 3 2" xfId="13957" xr:uid="{D416716A-A80C-4B6D-AEB7-297B9CB5333F}"/>
    <cellStyle name="Normal 2 4 2 5 2 3 4" xfId="9739" xr:uid="{B449C107-FF2E-4CF2-BD70-13B103BFF2BE}"/>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E9C92B82-F305-40EA-951C-A41357A1D2CB}"/>
    <cellStyle name="Normal 2 4 2 5 2 4 2 3" xfId="12297" xr:uid="{FC3D538D-CBA5-405D-8833-D93F04C896A9}"/>
    <cellStyle name="Normal 2 4 2 5 2 4 3" xfId="5928" xr:uid="{00000000-0005-0000-0000-0000930F0000}"/>
    <cellStyle name="Normal 2 4 2 5 2 4 3 2" xfId="14370" xr:uid="{C4B624D0-C966-4D9E-B756-4134BC8FBC6E}"/>
    <cellStyle name="Normal 2 4 2 5 2 4 4" xfId="10152" xr:uid="{14BAEA59-CBC5-482E-B428-2A47E7D82577}"/>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22F37E88-66C3-412F-AA20-A87DF9BA37CF}"/>
    <cellStyle name="Normal 2 4 2 5 2 5 2 3" xfId="12710" xr:uid="{930E1179-7A67-46C5-AD8A-79D93D3364D8}"/>
    <cellStyle name="Normal 2 4 2 5 2 5 3" xfId="6341" xr:uid="{00000000-0005-0000-0000-0000970F0000}"/>
    <cellStyle name="Normal 2 4 2 5 2 5 3 2" xfId="14783" xr:uid="{2F940615-D661-4CC5-ACF0-F3BC3F24541A}"/>
    <cellStyle name="Normal 2 4 2 5 2 5 4" xfId="10565" xr:uid="{B23EDF03-F1B4-4337-8AF3-F9DD449EC19A}"/>
    <cellStyle name="Normal 2 4 2 5 2 6" xfId="2470" xr:uid="{00000000-0005-0000-0000-0000980F0000}"/>
    <cellStyle name="Normal 2 4 2 5 2 6 2" xfId="6754" xr:uid="{00000000-0005-0000-0000-0000990F0000}"/>
    <cellStyle name="Normal 2 4 2 5 2 6 2 2" xfId="15196" xr:uid="{B479B6F9-1B7A-4A15-956E-DAFA737F866A}"/>
    <cellStyle name="Normal 2 4 2 5 2 6 3" xfId="10978" xr:uid="{B1665BB7-9B0A-4264-8E2D-157708BFE962}"/>
    <cellStyle name="Normal 2 4 2 5 2 7" xfId="4688" xr:uid="{00000000-0005-0000-0000-00009A0F0000}"/>
    <cellStyle name="Normal 2 4 2 5 2 7 2" xfId="13130" xr:uid="{C3DB26A4-E023-4508-9847-B2E421BC9B03}"/>
    <cellStyle name="Normal 2 4 2 5 2 8" xfId="8912" xr:uid="{FE7BF67E-9019-46EF-9A60-258285C20DB9}"/>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0F7EF796-DEAF-4AB6-B9C2-92421A4AECC7}"/>
    <cellStyle name="Normal 2 4 2 5 3 2 3" xfId="11470" xr:uid="{D97FCA1E-7149-49FD-9F27-815E0699DF6A}"/>
    <cellStyle name="Normal 2 4 2 5 3 3" xfId="5101" xr:uid="{00000000-0005-0000-0000-00009E0F0000}"/>
    <cellStyle name="Normal 2 4 2 5 3 3 2" xfId="13543" xr:uid="{91412973-61BB-469D-8FDE-F6B1DBB5FCBC}"/>
    <cellStyle name="Normal 2 4 2 5 3 4" xfId="9325" xr:uid="{E71D83B3-AAA1-4DD4-B95D-4B744256E92A}"/>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B24F46FD-F997-4578-B798-29FF23C5DD52}"/>
    <cellStyle name="Normal 2 4 2 5 4 2 3" xfId="11883" xr:uid="{21E87CD8-982E-42C2-8AD3-44FB799E56CB}"/>
    <cellStyle name="Normal 2 4 2 5 4 3" xfId="5514" xr:uid="{00000000-0005-0000-0000-0000A20F0000}"/>
    <cellStyle name="Normal 2 4 2 5 4 3 2" xfId="13956" xr:uid="{B733B893-495A-4C46-8118-2A92C169ABEE}"/>
    <cellStyle name="Normal 2 4 2 5 4 4" xfId="9738" xr:uid="{41E965A8-8F77-4B3F-9A54-97457F8B0C69}"/>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51EA9524-67A0-402A-BAD4-3B5B16A61625}"/>
    <cellStyle name="Normal 2 4 2 5 5 2 3" xfId="12296" xr:uid="{21035543-EA6F-46C1-94BA-B3EADFB22A13}"/>
    <cellStyle name="Normal 2 4 2 5 5 3" xfId="5927" xr:uid="{00000000-0005-0000-0000-0000A60F0000}"/>
    <cellStyle name="Normal 2 4 2 5 5 3 2" xfId="14369" xr:uid="{7BA7FC1F-D5F9-4DC7-835A-B6A4879D9F5A}"/>
    <cellStyle name="Normal 2 4 2 5 5 4" xfId="10151" xr:uid="{8BFF9E32-9630-4315-9228-1500650074DD}"/>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6C55F3F9-A7BB-407F-B5B5-8684B86C5D41}"/>
    <cellStyle name="Normal 2 4 2 5 6 2 3" xfId="12709" xr:uid="{013935C5-0683-490D-ACF9-F9FF12D80583}"/>
    <cellStyle name="Normal 2 4 2 5 6 3" xfId="6340" xr:uid="{00000000-0005-0000-0000-0000AA0F0000}"/>
    <cellStyle name="Normal 2 4 2 5 6 3 2" xfId="14782" xr:uid="{0BF8EE71-1F2C-479E-88D2-5045FEF52804}"/>
    <cellStyle name="Normal 2 4 2 5 6 4" xfId="10564" xr:uid="{A2D263C8-81E2-4729-9942-57B42BFE970C}"/>
    <cellStyle name="Normal 2 4 2 5 7" xfId="2469" xr:uid="{00000000-0005-0000-0000-0000AB0F0000}"/>
    <cellStyle name="Normal 2 4 2 5 7 2" xfId="6753" xr:uid="{00000000-0005-0000-0000-0000AC0F0000}"/>
    <cellStyle name="Normal 2 4 2 5 7 2 2" xfId="15195" xr:uid="{56D951AF-4D37-427C-ACEF-E169B40A7CE1}"/>
    <cellStyle name="Normal 2 4 2 5 7 3" xfId="10977" xr:uid="{3FF64309-FE83-4507-8814-A1F4B426A334}"/>
    <cellStyle name="Normal 2 4 2 5 8" xfId="4687" xr:uid="{00000000-0005-0000-0000-0000AD0F0000}"/>
    <cellStyle name="Normal 2 4 2 5 8 2" xfId="13129" xr:uid="{D6707576-BD21-4571-9F56-14F0F7C26F86}"/>
    <cellStyle name="Normal 2 4 2 5 9" xfId="8911" xr:uid="{2BDEE84B-C7DB-4347-8CEC-F1BCA29C9F58}"/>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7869389A-0593-4FCB-977C-324369BE7139}"/>
    <cellStyle name="Normal 2 4 2 6 2 2 3" xfId="11472" xr:uid="{0057E7F7-6F7E-4A47-90A6-0559CBD5AC00}"/>
    <cellStyle name="Normal 2 4 2 6 2 3" xfId="5103" xr:uid="{00000000-0005-0000-0000-0000B20F0000}"/>
    <cellStyle name="Normal 2 4 2 6 2 3 2" xfId="13545" xr:uid="{7AA66586-8015-453A-9844-39BA4B688917}"/>
    <cellStyle name="Normal 2 4 2 6 2 4" xfId="9327" xr:uid="{77EAD9CF-3F4F-4191-8EF3-278EACC63103}"/>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0C223687-9A7D-42E8-B6B2-F0F56B8D6308}"/>
    <cellStyle name="Normal 2 4 2 6 3 2 3" xfId="11885" xr:uid="{D1C6D152-A10A-4964-8864-C6118D154EFB}"/>
    <cellStyle name="Normal 2 4 2 6 3 3" xfId="5516" xr:uid="{00000000-0005-0000-0000-0000B60F0000}"/>
    <cellStyle name="Normal 2 4 2 6 3 3 2" xfId="13958" xr:uid="{736CEA0B-4595-4623-B617-4E7D28E7BD20}"/>
    <cellStyle name="Normal 2 4 2 6 3 4" xfId="9740" xr:uid="{794BB5EE-F90C-4053-BCC0-8AFF47FA2B59}"/>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6B0D0350-F96D-48E1-ADAD-3FA1EF86B539}"/>
    <cellStyle name="Normal 2 4 2 6 4 2 3" xfId="12298" xr:uid="{210D9237-D3F2-4212-94D6-6F2D09E09EE6}"/>
    <cellStyle name="Normal 2 4 2 6 4 3" xfId="5929" xr:uid="{00000000-0005-0000-0000-0000BA0F0000}"/>
    <cellStyle name="Normal 2 4 2 6 4 3 2" xfId="14371" xr:uid="{E3BEEA1E-ED11-4839-A286-90E0182DBDC5}"/>
    <cellStyle name="Normal 2 4 2 6 4 4" xfId="10153" xr:uid="{72543E9E-F8F5-42C0-9D28-6DE87D52D203}"/>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784333E8-C3B6-4E05-BFAD-B70EEEC3262B}"/>
    <cellStyle name="Normal 2 4 2 6 5 2 3" xfId="12711" xr:uid="{BC2B6F0A-7878-4429-84E7-A82AEF885530}"/>
    <cellStyle name="Normal 2 4 2 6 5 3" xfId="6342" xr:uid="{00000000-0005-0000-0000-0000BE0F0000}"/>
    <cellStyle name="Normal 2 4 2 6 5 3 2" xfId="14784" xr:uid="{BB92993A-FFDE-4062-B414-11CC00BA71BF}"/>
    <cellStyle name="Normal 2 4 2 6 5 4" xfId="10566" xr:uid="{5AFB23F4-A27A-4AA2-80F8-F13942BC7BEF}"/>
    <cellStyle name="Normal 2 4 2 6 6" xfId="2471" xr:uid="{00000000-0005-0000-0000-0000BF0F0000}"/>
    <cellStyle name="Normal 2 4 2 6 6 2" xfId="6755" xr:uid="{00000000-0005-0000-0000-0000C00F0000}"/>
    <cellStyle name="Normal 2 4 2 6 6 2 2" xfId="15197" xr:uid="{954D6956-578D-4F2C-B0E7-29ABC569586F}"/>
    <cellStyle name="Normal 2 4 2 6 6 3" xfId="10979" xr:uid="{BA3D7C9E-E75B-4097-8E89-E90220216642}"/>
    <cellStyle name="Normal 2 4 2 6 7" xfId="4689" xr:uid="{00000000-0005-0000-0000-0000C10F0000}"/>
    <cellStyle name="Normal 2 4 2 6 7 2" xfId="13131" xr:uid="{BC07DA45-DC63-4617-8FDA-3839C7B10AD7}"/>
    <cellStyle name="Normal 2 4 2 6 8" xfId="8913" xr:uid="{7A6CC8B9-455C-48E6-8519-DBD6F4BBFE36}"/>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0D4F7306-BE8A-4877-9CEB-4F2C9809BBB8}"/>
    <cellStyle name="Normal 2 4 2 7 2 3" xfId="11457" xr:uid="{B42B7B39-4576-431F-8047-B0848FD5FE95}"/>
    <cellStyle name="Normal 2 4 2 7 3" xfId="5088" xr:uid="{00000000-0005-0000-0000-0000C50F0000}"/>
    <cellStyle name="Normal 2 4 2 7 3 2" xfId="13530" xr:uid="{5850574A-20E4-4327-B780-4C46A7733F06}"/>
    <cellStyle name="Normal 2 4 2 7 4" xfId="9312" xr:uid="{A8726E00-4717-46D8-80B3-0BA0E7BC22F8}"/>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B380AB76-D5B1-4FF8-91C9-30B016F34404}"/>
    <cellStyle name="Normal 2 4 2 8 2 3" xfId="11870" xr:uid="{7A2A028F-C4AA-42E3-93F3-B30FFCC25DFE}"/>
    <cellStyle name="Normal 2 4 2 8 3" xfId="5501" xr:uid="{00000000-0005-0000-0000-0000C90F0000}"/>
    <cellStyle name="Normal 2 4 2 8 3 2" xfId="13943" xr:uid="{FB790F4C-6AAD-4D99-82C8-281DA8B1E035}"/>
    <cellStyle name="Normal 2 4 2 8 4" xfId="9725" xr:uid="{ADBBB99F-FC30-4887-82C6-A5771E75FAB4}"/>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1EB0656F-0A48-4FB9-9483-8CFC35E08520}"/>
    <cellStyle name="Normal 2 4 2 9 2 3" xfId="12283" xr:uid="{3EDE0FEA-ED4A-420E-B817-89123E050B06}"/>
    <cellStyle name="Normal 2 4 2 9 3" xfId="5914" xr:uid="{00000000-0005-0000-0000-0000CD0F0000}"/>
    <cellStyle name="Normal 2 4 2 9 3 2" xfId="14356" xr:uid="{A74B2DFE-2E33-4869-B1E4-F60FB81B472A}"/>
    <cellStyle name="Normal 2 4 2 9 4" xfId="10138" xr:uid="{54B52D23-A049-4627-8AB5-94EBA632C4F8}"/>
    <cellStyle name="Normal 2 4 3" xfId="296" xr:uid="{00000000-0005-0000-0000-0000CE0F0000}"/>
    <cellStyle name="Normal 2 4 3 10" xfId="8914" xr:uid="{1D4E6C3B-04D5-4AF1-B0A5-C26AE552B194}"/>
    <cellStyle name="Normal 2 4 3 2" xfId="297" xr:uid="{00000000-0005-0000-0000-0000CF0F0000}"/>
    <cellStyle name="Normal 2 4 3 3" xfId="298" xr:uid="{00000000-0005-0000-0000-0000D00F0000}"/>
    <cellStyle name="Normal 2 4 3 3 10" xfId="8915" xr:uid="{FCDACC60-696A-4FDE-AADD-AA462F87EBD6}"/>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1CBB109A-381E-4F60-ABC5-DD3A5130902E}"/>
    <cellStyle name="Normal 2 4 3 3 2 2 2 2 3" xfId="11476" xr:uid="{D45198FA-D856-41F8-9555-E55AE2266572}"/>
    <cellStyle name="Normal 2 4 3 3 2 2 2 3" xfId="5107" xr:uid="{00000000-0005-0000-0000-0000D60F0000}"/>
    <cellStyle name="Normal 2 4 3 3 2 2 2 3 2" xfId="13549" xr:uid="{2EEE9A5F-1AA2-4674-AB9D-534199497646}"/>
    <cellStyle name="Normal 2 4 3 3 2 2 2 4" xfId="9331" xr:uid="{9CFB4A82-2335-41C7-8687-05D68274F3E1}"/>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F4E2420F-B6FD-4E64-9CB5-2B2938D5EE4E}"/>
    <cellStyle name="Normal 2 4 3 3 2 2 3 2 3" xfId="11889" xr:uid="{ADDBEB36-024A-4CB6-9D61-8D3E9298BC81}"/>
    <cellStyle name="Normal 2 4 3 3 2 2 3 3" xfId="5520" xr:uid="{00000000-0005-0000-0000-0000DA0F0000}"/>
    <cellStyle name="Normal 2 4 3 3 2 2 3 3 2" xfId="13962" xr:uid="{16FF158A-57CA-4B0D-BBDD-A5E46D16FA33}"/>
    <cellStyle name="Normal 2 4 3 3 2 2 3 4" xfId="9744" xr:uid="{CAE58F62-8E59-4E29-81F5-AE591D2181E6}"/>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FE8C04AA-A0F5-4D5E-9054-3E5594E0A2DB}"/>
    <cellStyle name="Normal 2 4 3 3 2 2 4 2 3" xfId="12302" xr:uid="{2EC65E4C-BF4A-47A6-8606-5D11CFD505E2}"/>
    <cellStyle name="Normal 2 4 3 3 2 2 4 3" xfId="5933" xr:uid="{00000000-0005-0000-0000-0000DE0F0000}"/>
    <cellStyle name="Normal 2 4 3 3 2 2 4 3 2" xfId="14375" xr:uid="{2D818544-F72C-434B-8BCB-4AEDE9D7000B}"/>
    <cellStyle name="Normal 2 4 3 3 2 2 4 4" xfId="10157" xr:uid="{B21F5F2F-1583-4AFF-B8DE-76FE487CCD3C}"/>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C8D41D09-A969-483D-8B55-D9A9C2049CA0}"/>
    <cellStyle name="Normal 2 4 3 3 2 2 5 2 3" xfId="12715" xr:uid="{75C75AA7-1DB2-490D-8A61-6131C85AF8BA}"/>
    <cellStyle name="Normal 2 4 3 3 2 2 5 3" xfId="6346" xr:uid="{00000000-0005-0000-0000-0000E20F0000}"/>
    <cellStyle name="Normal 2 4 3 3 2 2 5 3 2" xfId="14788" xr:uid="{5872B8A5-6972-4CBA-9D48-FF24C692B272}"/>
    <cellStyle name="Normal 2 4 3 3 2 2 5 4" xfId="10570" xr:uid="{D09C7E23-600A-4FD7-A18C-86D6ABF3BE67}"/>
    <cellStyle name="Normal 2 4 3 3 2 2 6" xfId="2475" xr:uid="{00000000-0005-0000-0000-0000E30F0000}"/>
    <cellStyle name="Normal 2 4 3 3 2 2 6 2" xfId="6759" xr:uid="{00000000-0005-0000-0000-0000E40F0000}"/>
    <cellStyle name="Normal 2 4 3 3 2 2 6 2 2" xfId="15201" xr:uid="{6CBF4BBC-8A36-4DA1-B990-15296F42C2AF}"/>
    <cellStyle name="Normal 2 4 3 3 2 2 6 3" xfId="10983" xr:uid="{3BD999C4-FD7E-45BF-A33E-A8A06C058C10}"/>
    <cellStyle name="Normal 2 4 3 3 2 2 7" xfId="4693" xr:uid="{00000000-0005-0000-0000-0000E50F0000}"/>
    <cellStyle name="Normal 2 4 3 3 2 2 7 2" xfId="13135" xr:uid="{098F586E-14B9-47A7-B20D-8ECA8F124523}"/>
    <cellStyle name="Normal 2 4 3 3 2 2 8" xfId="8917" xr:uid="{E63F2641-A873-4E21-8F18-5C113364F881}"/>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9AF9CCF0-541E-4F17-B240-ED173CCD5D8E}"/>
    <cellStyle name="Normal 2 4 3 3 2 3 2 3" xfId="11475" xr:uid="{341DAA2C-7B59-4FB3-9933-C32901A20B06}"/>
    <cellStyle name="Normal 2 4 3 3 2 3 3" xfId="5106" xr:uid="{00000000-0005-0000-0000-0000E90F0000}"/>
    <cellStyle name="Normal 2 4 3 3 2 3 3 2" xfId="13548" xr:uid="{93E5A29F-BC17-4945-B644-FC854DD216A6}"/>
    <cellStyle name="Normal 2 4 3 3 2 3 4" xfId="9330" xr:uid="{8386E294-FA60-4A7E-8264-0D3FAA485CDA}"/>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80197C4C-1CC3-4045-BB9F-5CB2270709DD}"/>
    <cellStyle name="Normal 2 4 3 3 2 4 2 3" xfId="11888" xr:uid="{80E7A84B-E234-4609-95F8-9C186070D983}"/>
    <cellStyle name="Normal 2 4 3 3 2 4 3" xfId="5519" xr:uid="{00000000-0005-0000-0000-0000ED0F0000}"/>
    <cellStyle name="Normal 2 4 3 3 2 4 3 2" xfId="13961" xr:uid="{30131A0B-F9D4-4607-BD67-401BBBA68E7E}"/>
    <cellStyle name="Normal 2 4 3 3 2 4 4" xfId="9743" xr:uid="{9AF7FABD-F4C9-4205-8D01-CE9F788A45E2}"/>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992A92D9-F960-41BE-90EA-A4BA202F8615}"/>
    <cellStyle name="Normal 2 4 3 3 2 5 2 3" xfId="12301" xr:uid="{6CD95868-BF1D-454C-B719-FF0F8DAFF50E}"/>
    <cellStyle name="Normal 2 4 3 3 2 5 3" xfId="5932" xr:uid="{00000000-0005-0000-0000-0000F10F0000}"/>
    <cellStyle name="Normal 2 4 3 3 2 5 3 2" xfId="14374" xr:uid="{44D4041F-95A4-4E3F-BE1B-3994C04A920D}"/>
    <cellStyle name="Normal 2 4 3 3 2 5 4" xfId="10156" xr:uid="{DDF0DA1C-369F-43E0-86D5-C0FD20C6820B}"/>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11F977BF-926A-4CDC-87C0-363A33151972}"/>
    <cellStyle name="Normal 2 4 3 3 2 6 2 3" xfId="12714" xr:uid="{E6208EBD-5B4C-475B-BC34-7396C020D820}"/>
    <cellStyle name="Normal 2 4 3 3 2 6 3" xfId="6345" xr:uid="{00000000-0005-0000-0000-0000F50F0000}"/>
    <cellStyle name="Normal 2 4 3 3 2 6 3 2" xfId="14787" xr:uid="{799B6890-8E86-41C2-A369-6CC624BD9C64}"/>
    <cellStyle name="Normal 2 4 3 3 2 6 4" xfId="10569" xr:uid="{0EBD4718-A486-4FBD-8D09-B579B26F7FC2}"/>
    <cellStyle name="Normal 2 4 3 3 2 7" xfId="2474" xr:uid="{00000000-0005-0000-0000-0000F60F0000}"/>
    <cellStyle name="Normal 2 4 3 3 2 7 2" xfId="6758" xr:uid="{00000000-0005-0000-0000-0000F70F0000}"/>
    <cellStyle name="Normal 2 4 3 3 2 7 2 2" xfId="15200" xr:uid="{BF39B79C-B569-4741-91E8-095410D9AC92}"/>
    <cellStyle name="Normal 2 4 3 3 2 7 3" xfId="10982" xr:uid="{5C7F31A8-5C9B-42CE-9A5C-AA8492B2EAAE}"/>
    <cellStyle name="Normal 2 4 3 3 2 8" xfId="4692" xr:uid="{00000000-0005-0000-0000-0000F80F0000}"/>
    <cellStyle name="Normal 2 4 3 3 2 8 2" xfId="13134" xr:uid="{A2611BC2-3A39-44C2-91F7-E685B67A36A2}"/>
    <cellStyle name="Normal 2 4 3 3 2 9" xfId="8916" xr:uid="{28DEC00A-B6EB-4F79-89C3-05BE68E3CD4A}"/>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AE0BFDE3-C1AE-43EF-B85D-F17F5B14036F}"/>
    <cellStyle name="Normal 2 4 3 3 3 2 2 3" xfId="11477" xr:uid="{2F2E4F6D-0A73-44B4-8FF6-5B5C0673F40D}"/>
    <cellStyle name="Normal 2 4 3 3 3 2 3" xfId="5108" xr:uid="{00000000-0005-0000-0000-0000FD0F0000}"/>
    <cellStyle name="Normal 2 4 3 3 3 2 3 2" xfId="13550" xr:uid="{30333C78-E0F4-4D51-B421-81E63AEE7B8F}"/>
    <cellStyle name="Normal 2 4 3 3 3 2 4" xfId="9332" xr:uid="{825DCE7D-AA7D-487C-89BE-E9D3D53943B7}"/>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BF26E3FF-26D3-4F9C-AC54-C9797992E94D}"/>
    <cellStyle name="Normal 2 4 3 3 3 3 2 3" xfId="11890" xr:uid="{3ABB0BD2-1465-46C4-98DE-635C5F971854}"/>
    <cellStyle name="Normal 2 4 3 3 3 3 3" xfId="5521" xr:uid="{00000000-0005-0000-0000-000001100000}"/>
    <cellStyle name="Normal 2 4 3 3 3 3 3 2" xfId="13963" xr:uid="{ACC97DA6-BCA0-43D2-93AC-85C5DCAC4417}"/>
    <cellStyle name="Normal 2 4 3 3 3 3 4" xfId="9745" xr:uid="{8F9265BF-866B-4D8F-99F4-5F8B5A13BB43}"/>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BF390540-176A-4E63-BA23-ADDDCA9A2C97}"/>
    <cellStyle name="Normal 2 4 3 3 3 4 2 3" xfId="12303" xr:uid="{AD182FE4-6957-4D56-A414-25BC9DE6302B}"/>
    <cellStyle name="Normal 2 4 3 3 3 4 3" xfId="5934" xr:uid="{00000000-0005-0000-0000-000005100000}"/>
    <cellStyle name="Normal 2 4 3 3 3 4 3 2" xfId="14376" xr:uid="{C590C9F3-520B-43ED-B734-92B752B3EA6F}"/>
    <cellStyle name="Normal 2 4 3 3 3 4 4" xfId="10158" xr:uid="{A0F68657-20B7-47FF-9EA2-7A2E531F484E}"/>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B84DF964-CC29-4413-A01F-C5361E19D37D}"/>
    <cellStyle name="Normal 2 4 3 3 3 5 2 3" xfId="12716" xr:uid="{15543859-5B41-4741-A16B-782DE1043F5B}"/>
    <cellStyle name="Normal 2 4 3 3 3 5 3" xfId="6347" xr:uid="{00000000-0005-0000-0000-000009100000}"/>
    <cellStyle name="Normal 2 4 3 3 3 5 3 2" xfId="14789" xr:uid="{F204F4D6-27BE-4FAC-9FD2-90F21D0615B6}"/>
    <cellStyle name="Normal 2 4 3 3 3 5 4" xfId="10571" xr:uid="{837C2A17-5766-4B37-B092-F515FF6F05B3}"/>
    <cellStyle name="Normal 2 4 3 3 3 6" xfId="2476" xr:uid="{00000000-0005-0000-0000-00000A100000}"/>
    <cellStyle name="Normal 2 4 3 3 3 6 2" xfId="6760" xr:uid="{00000000-0005-0000-0000-00000B100000}"/>
    <cellStyle name="Normal 2 4 3 3 3 6 2 2" xfId="15202" xr:uid="{9528DD79-B1E8-43E5-B7E3-203CE1EAFBCF}"/>
    <cellStyle name="Normal 2 4 3 3 3 6 3" xfId="10984" xr:uid="{46079B6F-6698-4088-A875-3CDF56EC6DB5}"/>
    <cellStyle name="Normal 2 4 3 3 3 7" xfId="4694" xr:uid="{00000000-0005-0000-0000-00000C100000}"/>
    <cellStyle name="Normal 2 4 3 3 3 7 2" xfId="13136" xr:uid="{C0434093-C2CE-4037-A405-8AA365A3B9D1}"/>
    <cellStyle name="Normal 2 4 3 3 3 8" xfId="8918" xr:uid="{D8FC7563-40FE-4152-9BCD-5B8C0F045AFC}"/>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FA6B204D-7288-4DEA-900B-3FA96F7F7637}"/>
    <cellStyle name="Normal 2 4 3 3 4 2 3" xfId="11474" xr:uid="{E44B0227-06C6-47ED-9BD7-614F51266C32}"/>
    <cellStyle name="Normal 2 4 3 3 4 3" xfId="5105" xr:uid="{00000000-0005-0000-0000-000010100000}"/>
    <cellStyle name="Normal 2 4 3 3 4 3 2" xfId="13547" xr:uid="{0BFB89DA-8B6F-40C4-B4BA-9885F5FB2E94}"/>
    <cellStyle name="Normal 2 4 3 3 4 4" xfId="9329" xr:uid="{DDB2199A-D78A-4223-9E22-6053E57B355A}"/>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217E6B6D-0036-4214-9C51-FFB0DFD45EDD}"/>
    <cellStyle name="Normal 2 4 3 3 5 2 3" xfId="11887" xr:uid="{E97789E3-57A7-4585-ADC4-158F66E0615A}"/>
    <cellStyle name="Normal 2 4 3 3 5 3" xfId="5518" xr:uid="{00000000-0005-0000-0000-000014100000}"/>
    <cellStyle name="Normal 2 4 3 3 5 3 2" xfId="13960" xr:uid="{21733BDB-68BF-4CB4-AB2A-D8BD8ECEA6C9}"/>
    <cellStyle name="Normal 2 4 3 3 5 4" xfId="9742" xr:uid="{673B679D-7369-49E5-9DBB-F29E21AFD63D}"/>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C8EF3C8D-E280-42F8-BA45-1DB3B227623B}"/>
    <cellStyle name="Normal 2 4 3 3 6 2 3" xfId="12300" xr:uid="{35F71ECF-3056-4125-82B7-0C625952DFE7}"/>
    <cellStyle name="Normal 2 4 3 3 6 3" xfId="5931" xr:uid="{00000000-0005-0000-0000-000018100000}"/>
    <cellStyle name="Normal 2 4 3 3 6 3 2" xfId="14373" xr:uid="{BE279EC1-6A4B-4AF2-A29B-DBA820714503}"/>
    <cellStyle name="Normal 2 4 3 3 6 4" xfId="10155" xr:uid="{27AFCBF5-7B1E-4436-8C1B-9E2F52138567}"/>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247D7034-9B86-4A21-8348-7424E55E6471}"/>
    <cellStyle name="Normal 2 4 3 3 7 2 3" xfId="12713" xr:uid="{E8BDF817-BB15-4BE1-BC04-CC8759280D62}"/>
    <cellStyle name="Normal 2 4 3 3 7 3" xfId="6344" xr:uid="{00000000-0005-0000-0000-00001C100000}"/>
    <cellStyle name="Normal 2 4 3 3 7 3 2" xfId="14786" xr:uid="{77459E57-53EC-436A-9532-7D76D7C9D572}"/>
    <cellStyle name="Normal 2 4 3 3 7 4" xfId="10568" xr:uid="{B0A1010A-2638-4714-821E-7A749F4717B1}"/>
    <cellStyle name="Normal 2 4 3 3 8" xfId="2473" xr:uid="{00000000-0005-0000-0000-00001D100000}"/>
    <cellStyle name="Normal 2 4 3 3 8 2" xfId="6757" xr:uid="{00000000-0005-0000-0000-00001E100000}"/>
    <cellStyle name="Normal 2 4 3 3 8 2 2" xfId="15199" xr:uid="{8B7C1480-B689-469C-89AE-8703BDBBB502}"/>
    <cellStyle name="Normal 2 4 3 3 8 3" xfId="10981" xr:uid="{132378F7-5214-498C-B919-79DB1E5A1557}"/>
    <cellStyle name="Normal 2 4 3 3 9" xfId="4691" xr:uid="{00000000-0005-0000-0000-00001F100000}"/>
    <cellStyle name="Normal 2 4 3 3 9 2" xfId="13133" xr:uid="{48706C9F-32ED-4CD0-B8B7-12EAFE1CC7DB}"/>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6DC8429E-C894-4635-92E1-0B918D6B609D}"/>
    <cellStyle name="Normal 2 4 3 4 2 3" xfId="11473" xr:uid="{61C70DB5-8673-4435-98F0-F23CB98F85B5}"/>
    <cellStyle name="Normal 2 4 3 4 3" xfId="5104" xr:uid="{00000000-0005-0000-0000-000023100000}"/>
    <cellStyle name="Normal 2 4 3 4 3 2" xfId="13546" xr:uid="{93B65E66-9173-4293-9CB4-A362C4070752}"/>
    <cellStyle name="Normal 2 4 3 4 4" xfId="9328" xr:uid="{A3457783-CA59-4EA3-A755-64A5D693BA48}"/>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03C47A75-9FED-4DA3-AF62-E9C1D3B07F43}"/>
    <cellStyle name="Normal 2 4 3 5 2 3" xfId="11886" xr:uid="{416136D0-D8B6-430C-8C6A-86D2FA694734}"/>
    <cellStyle name="Normal 2 4 3 5 3" xfId="5517" xr:uid="{00000000-0005-0000-0000-000027100000}"/>
    <cellStyle name="Normal 2 4 3 5 3 2" xfId="13959" xr:uid="{123E90A8-15B8-4FD4-BB66-4265ED8F7F76}"/>
    <cellStyle name="Normal 2 4 3 5 4" xfId="9741" xr:uid="{9DE96DE5-9E07-43F7-B8F9-3A8BE8B1D0C1}"/>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64FC1DC0-E04D-46A1-A0C3-76618ED66621}"/>
    <cellStyle name="Normal 2 4 3 6 2 3" xfId="12299" xr:uid="{BA516105-6A8A-44C7-89A1-D6D6B05D69D8}"/>
    <cellStyle name="Normal 2 4 3 6 3" xfId="5930" xr:uid="{00000000-0005-0000-0000-00002B100000}"/>
    <cellStyle name="Normal 2 4 3 6 3 2" xfId="14372" xr:uid="{52337E23-8F64-4C5C-A348-0F68EBD09C5A}"/>
    <cellStyle name="Normal 2 4 3 6 4" xfId="10154" xr:uid="{F98DB21C-F1AD-4120-A2B5-E62C88BBAC11}"/>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5213BC66-6798-4BA0-99E8-15FE4EC4E9E9}"/>
    <cellStyle name="Normal 2 4 3 7 2 3" xfId="12712" xr:uid="{1E17721D-81DF-4D26-B4BB-FE5FF98294C6}"/>
    <cellStyle name="Normal 2 4 3 7 3" xfId="6343" xr:uid="{00000000-0005-0000-0000-00002F100000}"/>
    <cellStyle name="Normal 2 4 3 7 3 2" xfId="14785" xr:uid="{73C5C8FB-7D36-48F7-9CCE-7081B50116C2}"/>
    <cellStyle name="Normal 2 4 3 7 4" xfId="10567" xr:uid="{18E751FC-D7EE-4863-8BE6-E98F760B9582}"/>
    <cellStyle name="Normal 2 4 3 8" xfId="2472" xr:uid="{00000000-0005-0000-0000-000030100000}"/>
    <cellStyle name="Normal 2 4 3 8 2" xfId="6756" xr:uid="{00000000-0005-0000-0000-000031100000}"/>
    <cellStyle name="Normal 2 4 3 8 2 2" xfId="15198" xr:uid="{90366694-6443-48E0-A4FB-0B22560D7DE8}"/>
    <cellStyle name="Normal 2 4 3 8 3" xfId="10980" xr:uid="{9C13B335-33DB-4CC2-A9FC-D7CB027FB996}"/>
    <cellStyle name="Normal 2 4 3 9" xfId="4690" xr:uid="{00000000-0005-0000-0000-000032100000}"/>
    <cellStyle name="Normal 2 4 3 9 2" xfId="13132" xr:uid="{61804B58-31DD-456E-BE68-5412C3868F70}"/>
    <cellStyle name="Normal 2 4 4" xfId="302" xr:uid="{00000000-0005-0000-0000-000033100000}"/>
    <cellStyle name="Normal 2 4 5" xfId="303" xr:uid="{00000000-0005-0000-0000-000034100000}"/>
    <cellStyle name="Normal 2 4 5 10" xfId="4695" xr:uid="{00000000-0005-0000-0000-000035100000}"/>
    <cellStyle name="Normal 2 4 5 10 2" xfId="13137" xr:uid="{928182FC-0DE9-4010-A9D4-B95B1BDBE9E1}"/>
    <cellStyle name="Normal 2 4 5 11" xfId="8919" xr:uid="{55B8343B-9F94-4D2A-BC2A-F22557374BE0}"/>
    <cellStyle name="Normal 2 4 5 2" xfId="304" xr:uid="{00000000-0005-0000-0000-000036100000}"/>
    <cellStyle name="Normal 2 4 5 2 10" xfId="8920" xr:uid="{7D54F677-AF14-433B-A0FF-6DACF10F7504}"/>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A23A7944-17AA-49B9-B7B3-89ECA2BCE148}"/>
    <cellStyle name="Normal 2 4 5 2 2 2 2 2 3" xfId="11481" xr:uid="{D357F25C-9FA9-47E2-801E-510BEEDAD320}"/>
    <cellStyle name="Normal 2 4 5 2 2 2 2 3" xfId="5112" xr:uid="{00000000-0005-0000-0000-00003C100000}"/>
    <cellStyle name="Normal 2 4 5 2 2 2 2 3 2" xfId="13554" xr:uid="{694247A9-5364-4F9C-9420-92CBF6094B73}"/>
    <cellStyle name="Normal 2 4 5 2 2 2 2 4" xfId="9336" xr:uid="{6D88383B-728B-4306-96F6-709CE024E872}"/>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70FA7FC0-23CA-45F8-A060-8222A97E7B43}"/>
    <cellStyle name="Normal 2 4 5 2 2 2 3 2 3" xfId="11894" xr:uid="{25A13C29-CDD5-439F-853D-EC081B426DCA}"/>
    <cellStyle name="Normal 2 4 5 2 2 2 3 3" xfId="5525" xr:uid="{00000000-0005-0000-0000-000040100000}"/>
    <cellStyle name="Normal 2 4 5 2 2 2 3 3 2" xfId="13967" xr:uid="{010D1B8E-9AAC-404B-9A2F-1F3262EBDD3B}"/>
    <cellStyle name="Normal 2 4 5 2 2 2 3 4" xfId="9749" xr:uid="{05983B66-668A-4F25-AEAB-EF645A48793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05047FC6-0890-4031-81C0-240F3014AF58}"/>
    <cellStyle name="Normal 2 4 5 2 2 2 4 2 3" xfId="12307" xr:uid="{8518D670-BBF1-43A8-BA8B-D9E4B92C76B9}"/>
    <cellStyle name="Normal 2 4 5 2 2 2 4 3" xfId="5938" xr:uid="{00000000-0005-0000-0000-000044100000}"/>
    <cellStyle name="Normal 2 4 5 2 2 2 4 3 2" xfId="14380" xr:uid="{CE80BBF3-61E3-43BE-9134-672E4CAD3B67}"/>
    <cellStyle name="Normal 2 4 5 2 2 2 4 4" xfId="10162" xr:uid="{42E1FDF8-D2B4-4485-8DFA-9A4B2BE25C4D}"/>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48A3057E-D541-40C7-9572-68BCE4FD56F6}"/>
    <cellStyle name="Normal 2 4 5 2 2 2 5 2 3" xfId="12720" xr:uid="{FA2696B6-6504-4859-A69F-73CC2F6FF01F}"/>
    <cellStyle name="Normal 2 4 5 2 2 2 5 3" xfId="6351" xr:uid="{00000000-0005-0000-0000-000048100000}"/>
    <cellStyle name="Normal 2 4 5 2 2 2 5 3 2" xfId="14793" xr:uid="{850E7035-B8C6-45FE-A1E9-88F0980A5596}"/>
    <cellStyle name="Normal 2 4 5 2 2 2 5 4" xfId="10575" xr:uid="{D270BA3F-6EEB-4F0C-BBD7-A85CF0BCC101}"/>
    <cellStyle name="Normal 2 4 5 2 2 2 6" xfId="2480" xr:uid="{00000000-0005-0000-0000-000049100000}"/>
    <cellStyle name="Normal 2 4 5 2 2 2 6 2" xfId="6764" xr:uid="{00000000-0005-0000-0000-00004A100000}"/>
    <cellStyle name="Normal 2 4 5 2 2 2 6 2 2" xfId="15206" xr:uid="{6814A5C7-F70F-411C-81F8-39A74BACFD90}"/>
    <cellStyle name="Normal 2 4 5 2 2 2 6 3" xfId="10988" xr:uid="{163B6793-2915-46BF-8E8B-9C274BA400FE}"/>
    <cellStyle name="Normal 2 4 5 2 2 2 7" xfId="4698" xr:uid="{00000000-0005-0000-0000-00004B100000}"/>
    <cellStyle name="Normal 2 4 5 2 2 2 7 2" xfId="13140" xr:uid="{5003CF49-B838-480A-A376-ED50F795F402}"/>
    <cellStyle name="Normal 2 4 5 2 2 2 8" xfId="8922" xr:uid="{50E2CB08-9754-4B87-AFAB-21D3CFE8DE0A}"/>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BE3C3208-7B49-4116-A3C9-CA30138B49A3}"/>
    <cellStyle name="Normal 2 4 5 2 2 3 2 3" xfId="11480" xr:uid="{6FB098AB-3B5E-4A3D-BDCC-53329C99F571}"/>
    <cellStyle name="Normal 2 4 5 2 2 3 3" xfId="5111" xr:uid="{00000000-0005-0000-0000-00004F100000}"/>
    <cellStyle name="Normal 2 4 5 2 2 3 3 2" xfId="13553" xr:uid="{184566C8-9BF8-4072-8393-C7528895EF57}"/>
    <cellStyle name="Normal 2 4 5 2 2 3 4" xfId="9335" xr:uid="{46849565-C6F4-463E-AA3B-8BC72F989813}"/>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7026E544-92B5-49E8-A979-56199CDFE875}"/>
    <cellStyle name="Normal 2 4 5 2 2 4 2 3" xfId="11893" xr:uid="{8875CD1F-063B-4D53-AABF-C5AF43B013F1}"/>
    <cellStyle name="Normal 2 4 5 2 2 4 3" xfId="5524" xr:uid="{00000000-0005-0000-0000-000053100000}"/>
    <cellStyle name="Normal 2 4 5 2 2 4 3 2" xfId="13966" xr:uid="{DA153F53-654A-4EDC-B2C8-3EC1944A80E0}"/>
    <cellStyle name="Normal 2 4 5 2 2 4 4" xfId="9748" xr:uid="{42B32421-1AA9-4991-BC4C-E7E415935021}"/>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FBD07E28-2DC8-49C9-97E1-B417E2256733}"/>
    <cellStyle name="Normal 2 4 5 2 2 5 2 3" xfId="12306" xr:uid="{0117EC21-A19B-44D8-9660-588A7574B532}"/>
    <cellStyle name="Normal 2 4 5 2 2 5 3" xfId="5937" xr:uid="{00000000-0005-0000-0000-000057100000}"/>
    <cellStyle name="Normal 2 4 5 2 2 5 3 2" xfId="14379" xr:uid="{1B44C157-9FBD-47D9-98A8-CA0D3C02ECEE}"/>
    <cellStyle name="Normal 2 4 5 2 2 5 4" xfId="10161" xr:uid="{E35A1771-08A6-4C7D-BC1B-8E0F26950511}"/>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DCDC9F87-22BF-4257-B4F5-1D9AF673DA46}"/>
    <cellStyle name="Normal 2 4 5 2 2 6 2 3" xfId="12719" xr:uid="{2474241F-C809-406C-B5CD-D3CF14F63B01}"/>
    <cellStyle name="Normal 2 4 5 2 2 6 3" xfId="6350" xr:uid="{00000000-0005-0000-0000-00005B100000}"/>
    <cellStyle name="Normal 2 4 5 2 2 6 3 2" xfId="14792" xr:uid="{14B22CC4-3F24-4715-ACEA-75358BEA3170}"/>
    <cellStyle name="Normal 2 4 5 2 2 6 4" xfId="10574" xr:uid="{AEC067A3-908B-41CB-A029-A0CD3C61BDF8}"/>
    <cellStyle name="Normal 2 4 5 2 2 7" xfId="2479" xr:uid="{00000000-0005-0000-0000-00005C100000}"/>
    <cellStyle name="Normal 2 4 5 2 2 7 2" xfId="6763" xr:uid="{00000000-0005-0000-0000-00005D100000}"/>
    <cellStyle name="Normal 2 4 5 2 2 7 2 2" xfId="15205" xr:uid="{B7E43D6C-31F1-47F0-927C-82B67E3752A3}"/>
    <cellStyle name="Normal 2 4 5 2 2 7 3" xfId="10987" xr:uid="{C68AC60E-F88C-447E-8EC8-ECBF63A5CF67}"/>
    <cellStyle name="Normal 2 4 5 2 2 8" xfId="4697" xr:uid="{00000000-0005-0000-0000-00005E100000}"/>
    <cellStyle name="Normal 2 4 5 2 2 8 2" xfId="13139" xr:uid="{3CF9113E-F517-4365-A134-D771069CF2EE}"/>
    <cellStyle name="Normal 2 4 5 2 2 9" xfId="8921" xr:uid="{C33AE6B1-33D3-4DB5-9625-A084AA3C4F55}"/>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69D4AE13-49AC-4F1F-9363-98F7697A4C15}"/>
    <cellStyle name="Normal 2 4 5 2 3 2 2 3" xfId="11482" xr:uid="{74CBF7A5-6875-47A1-8A8E-06FB2A7797D0}"/>
    <cellStyle name="Normal 2 4 5 2 3 2 3" xfId="5113" xr:uid="{00000000-0005-0000-0000-000063100000}"/>
    <cellStyle name="Normal 2 4 5 2 3 2 3 2" xfId="13555" xr:uid="{C37FCF1E-3159-4F39-87E5-61D4EC671A8B}"/>
    <cellStyle name="Normal 2 4 5 2 3 2 4" xfId="9337" xr:uid="{B3C1C0BF-5CB9-4D35-BB33-58F46FAEC27C}"/>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E6733BEB-66A7-4FF7-B488-736D865993B0}"/>
    <cellStyle name="Normal 2 4 5 2 3 3 2 3" xfId="11895" xr:uid="{6AEB98C1-D32D-4AD0-8D55-A3BCD4898F89}"/>
    <cellStyle name="Normal 2 4 5 2 3 3 3" xfId="5526" xr:uid="{00000000-0005-0000-0000-000067100000}"/>
    <cellStyle name="Normal 2 4 5 2 3 3 3 2" xfId="13968" xr:uid="{6FBCE25C-EC8E-4951-A3BA-913A217C72F0}"/>
    <cellStyle name="Normal 2 4 5 2 3 3 4" xfId="9750" xr:uid="{2E9516FA-2568-4E65-8772-728AB27FA5DA}"/>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7DF02160-7A5D-4C58-AAA0-7AF4583DEA9F}"/>
    <cellStyle name="Normal 2 4 5 2 3 4 2 3" xfId="12308" xr:uid="{3585EA3C-F020-41FE-8080-16AA7F6B69E2}"/>
    <cellStyle name="Normal 2 4 5 2 3 4 3" xfId="5939" xr:uid="{00000000-0005-0000-0000-00006B100000}"/>
    <cellStyle name="Normal 2 4 5 2 3 4 3 2" xfId="14381" xr:uid="{452E5D7A-9086-4566-9EE7-31FA079EBC9C}"/>
    <cellStyle name="Normal 2 4 5 2 3 4 4" xfId="10163" xr:uid="{0DB9B87B-C915-4A8E-8C3C-E0B0AB581B13}"/>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33C8A16F-F667-40B6-84FD-9AE04B9EE211}"/>
    <cellStyle name="Normal 2 4 5 2 3 5 2 3" xfId="12721" xr:uid="{1E0ADB89-FC71-4547-8368-573EC68BB052}"/>
    <cellStyle name="Normal 2 4 5 2 3 5 3" xfId="6352" xr:uid="{00000000-0005-0000-0000-00006F100000}"/>
    <cellStyle name="Normal 2 4 5 2 3 5 3 2" xfId="14794" xr:uid="{F6D73EFB-BA5D-434C-8C2C-AA1963AA56F0}"/>
    <cellStyle name="Normal 2 4 5 2 3 5 4" xfId="10576" xr:uid="{FD883FF3-E309-4DAF-A291-AF3F827B3571}"/>
    <cellStyle name="Normal 2 4 5 2 3 6" xfId="2481" xr:uid="{00000000-0005-0000-0000-000070100000}"/>
    <cellStyle name="Normal 2 4 5 2 3 6 2" xfId="6765" xr:uid="{00000000-0005-0000-0000-000071100000}"/>
    <cellStyle name="Normal 2 4 5 2 3 6 2 2" xfId="15207" xr:uid="{E663496D-0C09-48D3-9CFB-8E47A5A2D656}"/>
    <cellStyle name="Normal 2 4 5 2 3 6 3" xfId="10989" xr:uid="{003341E5-9CCB-4E4A-A21C-2FDAFADA4E2A}"/>
    <cellStyle name="Normal 2 4 5 2 3 7" xfId="4699" xr:uid="{00000000-0005-0000-0000-000072100000}"/>
    <cellStyle name="Normal 2 4 5 2 3 7 2" xfId="13141" xr:uid="{23BD806A-0A29-4759-80A0-2EA1CC5FD1F4}"/>
    <cellStyle name="Normal 2 4 5 2 3 8" xfId="8923" xr:uid="{4779092C-056A-47B7-93F4-BBB9097D49C9}"/>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873C42A0-8654-4635-84C0-E5D91A8F35A9}"/>
    <cellStyle name="Normal 2 4 5 2 4 2 3" xfId="11479" xr:uid="{BEE1EE97-D77D-4128-AC5D-E3AEE4D258C8}"/>
    <cellStyle name="Normal 2 4 5 2 4 3" xfId="5110" xr:uid="{00000000-0005-0000-0000-000076100000}"/>
    <cellStyle name="Normal 2 4 5 2 4 3 2" xfId="13552" xr:uid="{8EB30F5F-7CA6-4179-AE1D-E084D5517976}"/>
    <cellStyle name="Normal 2 4 5 2 4 4" xfId="9334" xr:uid="{A7E27E42-1535-4EE6-B112-07A02A2673C3}"/>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D5F7E87E-914A-418E-97E6-824AE63808AA}"/>
    <cellStyle name="Normal 2 4 5 2 5 2 3" xfId="11892" xr:uid="{34D99EB1-C9BD-4E3B-A5A0-89E2E74A8032}"/>
    <cellStyle name="Normal 2 4 5 2 5 3" xfId="5523" xr:uid="{00000000-0005-0000-0000-00007A100000}"/>
    <cellStyle name="Normal 2 4 5 2 5 3 2" xfId="13965" xr:uid="{0F13C9FF-7A2F-45FA-922E-38B876283B9B}"/>
    <cellStyle name="Normal 2 4 5 2 5 4" xfId="9747" xr:uid="{0AE91D91-A3D7-4787-8FF3-412BE74AEA45}"/>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4248CF06-6FBD-488B-9CBA-A28E7EBEF003}"/>
    <cellStyle name="Normal 2 4 5 2 6 2 3" xfId="12305" xr:uid="{E2BFE37A-1F2E-4FE4-B667-9411C107A1D4}"/>
    <cellStyle name="Normal 2 4 5 2 6 3" xfId="5936" xr:uid="{00000000-0005-0000-0000-00007E100000}"/>
    <cellStyle name="Normal 2 4 5 2 6 3 2" xfId="14378" xr:uid="{57428420-05B6-4A22-B6FA-26FA3643DE5B}"/>
    <cellStyle name="Normal 2 4 5 2 6 4" xfId="10160" xr:uid="{EA3B52C5-60D1-41B3-B279-40A65FB8B764}"/>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4D6EBFF9-CEDD-47EA-BFE8-C9916C636982}"/>
    <cellStyle name="Normal 2 4 5 2 7 2 3" xfId="12718" xr:uid="{C440895D-C4EA-4E8B-ACCB-C3152D1CE493}"/>
    <cellStyle name="Normal 2 4 5 2 7 3" xfId="6349" xr:uid="{00000000-0005-0000-0000-000082100000}"/>
    <cellStyle name="Normal 2 4 5 2 7 3 2" xfId="14791" xr:uid="{76678D7E-5138-4CF0-9685-BF523E85D42D}"/>
    <cellStyle name="Normal 2 4 5 2 7 4" xfId="10573" xr:uid="{9721B021-2C78-4337-A78D-A1E68A407BB3}"/>
    <cellStyle name="Normal 2 4 5 2 8" xfId="2478" xr:uid="{00000000-0005-0000-0000-000083100000}"/>
    <cellStyle name="Normal 2 4 5 2 8 2" xfId="6762" xr:uid="{00000000-0005-0000-0000-000084100000}"/>
    <cellStyle name="Normal 2 4 5 2 8 2 2" xfId="15204" xr:uid="{243FD18E-2633-4347-8E3B-1369927283CA}"/>
    <cellStyle name="Normal 2 4 5 2 8 3" xfId="10986" xr:uid="{778C8CB1-E32D-4ED1-8BF4-B8B9CB0B9E5D}"/>
    <cellStyle name="Normal 2 4 5 2 9" xfId="4696" xr:uid="{00000000-0005-0000-0000-000085100000}"/>
    <cellStyle name="Normal 2 4 5 2 9 2" xfId="13138" xr:uid="{333E3EC0-DC8F-4C63-AC15-04DCF05FBE7C}"/>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7EF66A77-98BC-4884-BD78-C6065C441C74}"/>
    <cellStyle name="Normal 2 4 5 3 2 2 2 3" xfId="11484" xr:uid="{7CE472CA-DDB6-4A34-8892-C9F810F9EFC7}"/>
    <cellStyle name="Normal 2 4 5 3 2 2 3" xfId="5115" xr:uid="{00000000-0005-0000-0000-00008B100000}"/>
    <cellStyle name="Normal 2 4 5 3 2 2 3 2" xfId="13557" xr:uid="{8165083B-7471-4D8D-AA52-AF07CE206907}"/>
    <cellStyle name="Normal 2 4 5 3 2 2 4" xfId="9339" xr:uid="{D1BB5194-2ADF-4BF5-A68A-0BE2A0F9FCDF}"/>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34914F95-0487-4BB0-B8EC-8E8D7F0F19B5}"/>
    <cellStyle name="Normal 2 4 5 3 2 3 2 3" xfId="11897" xr:uid="{14A629F2-6C86-4565-8C38-49953A1FB7DF}"/>
    <cellStyle name="Normal 2 4 5 3 2 3 3" xfId="5528" xr:uid="{00000000-0005-0000-0000-00008F100000}"/>
    <cellStyle name="Normal 2 4 5 3 2 3 3 2" xfId="13970" xr:uid="{43BEB477-2C42-4EFD-9EBE-9EBF1136F4E1}"/>
    <cellStyle name="Normal 2 4 5 3 2 3 4" xfId="9752" xr:uid="{0F9D8720-6B09-4BB5-A785-BBB15EA5FC84}"/>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3D65636A-1530-45A9-A83A-A4E9270BE13C}"/>
    <cellStyle name="Normal 2 4 5 3 2 4 2 3" xfId="12310" xr:uid="{5B6A41F7-2B5C-4750-AE21-0ECE35D8EB6E}"/>
    <cellStyle name="Normal 2 4 5 3 2 4 3" xfId="5941" xr:uid="{00000000-0005-0000-0000-000093100000}"/>
    <cellStyle name="Normal 2 4 5 3 2 4 3 2" xfId="14383" xr:uid="{D08746FE-5C97-43DE-8433-7A9F5DB97A00}"/>
    <cellStyle name="Normal 2 4 5 3 2 4 4" xfId="10165" xr:uid="{130846C0-2FAA-49FA-A107-F5E25624FD2E}"/>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7B717B84-5CE8-4403-8B64-34CEA3A4BE04}"/>
    <cellStyle name="Normal 2 4 5 3 2 5 2 3" xfId="12723" xr:uid="{4601CF5C-35C8-40D6-B4D4-41B6F0A4761C}"/>
    <cellStyle name="Normal 2 4 5 3 2 5 3" xfId="6354" xr:uid="{00000000-0005-0000-0000-000097100000}"/>
    <cellStyle name="Normal 2 4 5 3 2 5 3 2" xfId="14796" xr:uid="{73A88B03-C60C-4A65-B60E-924F7EA0EB04}"/>
    <cellStyle name="Normal 2 4 5 3 2 5 4" xfId="10578" xr:uid="{19879E4B-CDF6-4CF1-B58B-67C61CF04AB7}"/>
    <cellStyle name="Normal 2 4 5 3 2 6" xfId="2483" xr:uid="{00000000-0005-0000-0000-000098100000}"/>
    <cellStyle name="Normal 2 4 5 3 2 6 2" xfId="6767" xr:uid="{00000000-0005-0000-0000-000099100000}"/>
    <cellStyle name="Normal 2 4 5 3 2 6 2 2" xfId="15209" xr:uid="{51BDD2B7-6856-4CCF-B57F-6F7E72E27AA9}"/>
    <cellStyle name="Normal 2 4 5 3 2 6 3" xfId="10991" xr:uid="{451A57C8-CCCD-4CE0-9BFD-03E2FDDD7DB4}"/>
    <cellStyle name="Normal 2 4 5 3 2 7" xfId="4701" xr:uid="{00000000-0005-0000-0000-00009A100000}"/>
    <cellStyle name="Normal 2 4 5 3 2 7 2" xfId="13143" xr:uid="{7DBCA429-2C41-408F-82D5-409526F95483}"/>
    <cellStyle name="Normal 2 4 5 3 2 8" xfId="8925" xr:uid="{67F45BC6-3607-455F-A72D-BB1CF70D50BA}"/>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427F85B2-D74C-4521-BB3D-CD86EFBDD9B3}"/>
    <cellStyle name="Normal 2 4 5 3 3 2 3" xfId="11483" xr:uid="{DC4B4CA6-A5EB-41A4-BED3-B41F3F6A2201}"/>
    <cellStyle name="Normal 2 4 5 3 3 3" xfId="5114" xr:uid="{00000000-0005-0000-0000-00009E100000}"/>
    <cellStyle name="Normal 2 4 5 3 3 3 2" xfId="13556" xr:uid="{5981CC24-4380-4F03-B45C-4A714BAB626D}"/>
    <cellStyle name="Normal 2 4 5 3 3 4" xfId="9338" xr:uid="{437A11A6-04A8-466D-9127-1E6A85F0723F}"/>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D945DC4C-34DF-485E-80ED-BC5A5B1A51C3}"/>
    <cellStyle name="Normal 2 4 5 3 4 2 3" xfId="11896" xr:uid="{FE0EBDAD-1D9C-4BCF-A723-24CDB3E66717}"/>
    <cellStyle name="Normal 2 4 5 3 4 3" xfId="5527" xr:uid="{00000000-0005-0000-0000-0000A2100000}"/>
    <cellStyle name="Normal 2 4 5 3 4 3 2" xfId="13969" xr:uid="{72083A0F-005F-4C2D-9F20-E8AA76CC47C0}"/>
    <cellStyle name="Normal 2 4 5 3 4 4" xfId="9751" xr:uid="{19618059-1086-4080-889C-EC3039A577FB}"/>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1CF08089-4AC7-4495-95A8-8D662B11DA0B}"/>
    <cellStyle name="Normal 2 4 5 3 5 2 3" xfId="12309" xr:uid="{A011D37B-2D98-4A4F-946D-4449ADFEC9A8}"/>
    <cellStyle name="Normal 2 4 5 3 5 3" xfId="5940" xr:uid="{00000000-0005-0000-0000-0000A6100000}"/>
    <cellStyle name="Normal 2 4 5 3 5 3 2" xfId="14382" xr:uid="{F8D8F521-4B85-4113-8800-FDEEE7756C9D}"/>
    <cellStyle name="Normal 2 4 5 3 5 4" xfId="10164" xr:uid="{7D9F425F-0AD2-4DE9-9DC5-55930F84BD2D}"/>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F5ECE456-D7D4-41D4-90D5-E273AFE71C8E}"/>
    <cellStyle name="Normal 2 4 5 3 6 2 3" xfId="12722" xr:uid="{58C7C7DA-883B-47C9-BD37-54463FDE9394}"/>
    <cellStyle name="Normal 2 4 5 3 6 3" xfId="6353" xr:uid="{00000000-0005-0000-0000-0000AA100000}"/>
    <cellStyle name="Normal 2 4 5 3 6 3 2" xfId="14795" xr:uid="{7D4E75DB-BD19-451B-B505-249E4F5608BC}"/>
    <cellStyle name="Normal 2 4 5 3 6 4" xfId="10577" xr:uid="{3B297700-83C0-4CE3-B145-CDA1CBC752B7}"/>
    <cellStyle name="Normal 2 4 5 3 7" xfId="2482" xr:uid="{00000000-0005-0000-0000-0000AB100000}"/>
    <cellStyle name="Normal 2 4 5 3 7 2" xfId="6766" xr:uid="{00000000-0005-0000-0000-0000AC100000}"/>
    <cellStyle name="Normal 2 4 5 3 7 2 2" xfId="15208" xr:uid="{0D9FBF1C-E73E-46E2-B6D3-5A6C022E5899}"/>
    <cellStyle name="Normal 2 4 5 3 7 3" xfId="10990" xr:uid="{46BB23E2-7C6D-494E-A071-CAE1EB79943B}"/>
    <cellStyle name="Normal 2 4 5 3 8" xfId="4700" xr:uid="{00000000-0005-0000-0000-0000AD100000}"/>
    <cellStyle name="Normal 2 4 5 3 8 2" xfId="13142" xr:uid="{2FD2001A-9440-46D0-AC6F-1F220F969FAC}"/>
    <cellStyle name="Normal 2 4 5 3 9" xfId="8924" xr:uid="{C221639D-A42E-41E2-B9C9-2C7E92E4B14E}"/>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C15AEE7C-8683-4967-8B43-21ED794CDD43}"/>
    <cellStyle name="Normal 2 4 5 4 2 2 3" xfId="11485" xr:uid="{9FF4C0A2-4BA1-4BD5-B74D-998FC405E592}"/>
    <cellStyle name="Normal 2 4 5 4 2 3" xfId="5116" xr:uid="{00000000-0005-0000-0000-0000B2100000}"/>
    <cellStyle name="Normal 2 4 5 4 2 3 2" xfId="13558" xr:uid="{D39BFF6A-E674-4D86-90AE-5CF67B45FCCF}"/>
    <cellStyle name="Normal 2 4 5 4 2 4" xfId="9340" xr:uid="{A848C6DA-52A3-492A-946C-D5C80DE523F1}"/>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2D3E9963-0910-4F65-835D-F17971D00FF3}"/>
    <cellStyle name="Normal 2 4 5 4 3 2 3" xfId="11898" xr:uid="{303B15D5-8691-4A6E-9D12-1DF9C191E18A}"/>
    <cellStyle name="Normal 2 4 5 4 3 3" xfId="5529" xr:uid="{00000000-0005-0000-0000-0000B6100000}"/>
    <cellStyle name="Normal 2 4 5 4 3 3 2" xfId="13971" xr:uid="{EC73452C-F0FC-486E-B574-3454FEEB0FE4}"/>
    <cellStyle name="Normal 2 4 5 4 3 4" xfId="9753" xr:uid="{BA359C9D-B966-4A72-A660-31F3A623E81D}"/>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6FFD1C47-68F9-4DDA-A5E8-E8DE7DF02370}"/>
    <cellStyle name="Normal 2 4 5 4 4 2 3" xfId="12311" xr:uid="{AAD1DB2F-05D7-43D0-B24E-863C261CEFF0}"/>
    <cellStyle name="Normal 2 4 5 4 4 3" xfId="5942" xr:uid="{00000000-0005-0000-0000-0000BA100000}"/>
    <cellStyle name="Normal 2 4 5 4 4 3 2" xfId="14384" xr:uid="{B164D008-6365-4CD9-B3E1-10D2AF35E62B}"/>
    <cellStyle name="Normal 2 4 5 4 4 4" xfId="10166" xr:uid="{8A75AFCD-C027-40BB-ABEB-BAB2874D2846}"/>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E8AAA930-4D02-4938-92CC-F7E2AB80B340}"/>
    <cellStyle name="Normal 2 4 5 4 5 2 3" xfId="12724" xr:uid="{6EAF3C97-8A21-4D56-BC66-85C44105680B}"/>
    <cellStyle name="Normal 2 4 5 4 5 3" xfId="6355" xr:uid="{00000000-0005-0000-0000-0000BE100000}"/>
    <cellStyle name="Normal 2 4 5 4 5 3 2" xfId="14797" xr:uid="{D351C011-490B-40F1-B194-F8587BEE02B1}"/>
    <cellStyle name="Normal 2 4 5 4 5 4" xfId="10579" xr:uid="{C610DDE8-16B1-4C0F-A1D5-962D3AF65BFE}"/>
    <cellStyle name="Normal 2 4 5 4 6" xfId="2484" xr:uid="{00000000-0005-0000-0000-0000BF100000}"/>
    <cellStyle name="Normal 2 4 5 4 6 2" xfId="6768" xr:uid="{00000000-0005-0000-0000-0000C0100000}"/>
    <cellStyle name="Normal 2 4 5 4 6 2 2" xfId="15210" xr:uid="{EC4A153E-2657-41CA-9416-C3AC259B88AB}"/>
    <cellStyle name="Normal 2 4 5 4 6 3" xfId="10992" xr:uid="{C18ABD7F-7D55-4636-8962-0BB843C6BE9C}"/>
    <cellStyle name="Normal 2 4 5 4 7" xfId="4702" xr:uid="{00000000-0005-0000-0000-0000C1100000}"/>
    <cellStyle name="Normal 2 4 5 4 7 2" xfId="13144" xr:uid="{A31AF68B-9294-454D-8EDA-F104F0C59BAA}"/>
    <cellStyle name="Normal 2 4 5 4 8" xfId="8926" xr:uid="{3D5501A3-3B6D-41BF-BA71-9D85C33DBAC8}"/>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28761082-F9B3-4533-B75B-857BD8A86C6F}"/>
    <cellStyle name="Normal 2 4 5 5 2 3" xfId="11478" xr:uid="{CCE89761-8473-4BF1-9C4C-F879D98EAD70}"/>
    <cellStyle name="Normal 2 4 5 5 3" xfId="5109" xr:uid="{00000000-0005-0000-0000-0000C5100000}"/>
    <cellStyle name="Normal 2 4 5 5 3 2" xfId="13551" xr:uid="{72AA59B6-3E83-49E4-B06B-979FFF587950}"/>
    <cellStyle name="Normal 2 4 5 5 4" xfId="9333" xr:uid="{D63FF7E6-90C4-4788-9415-BFBFD7163B07}"/>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911E1D69-2956-4A64-BC98-B7EEE2923F5B}"/>
    <cellStyle name="Normal 2 4 5 6 2 3" xfId="11891" xr:uid="{07384D38-974D-4C75-8C18-15EE9E424440}"/>
    <cellStyle name="Normal 2 4 5 6 3" xfId="5522" xr:uid="{00000000-0005-0000-0000-0000C9100000}"/>
    <cellStyle name="Normal 2 4 5 6 3 2" xfId="13964" xr:uid="{604CBDB4-DEEE-4DF2-96E7-B448755FEA02}"/>
    <cellStyle name="Normal 2 4 5 6 4" xfId="9746" xr:uid="{56C74A25-3AC7-4783-9C75-0F26D6549FC4}"/>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0EDF1D90-D984-4DA0-A9DC-741A3D5F6B4E}"/>
    <cellStyle name="Normal 2 4 5 7 2 3" xfId="12304" xr:uid="{F70A63A5-E7E0-4854-88ED-4AA9ED007F02}"/>
    <cellStyle name="Normal 2 4 5 7 3" xfId="5935" xr:uid="{00000000-0005-0000-0000-0000CD100000}"/>
    <cellStyle name="Normal 2 4 5 7 3 2" xfId="14377" xr:uid="{537CAA1C-55D0-4ED3-9A48-B07BEFF7E31D}"/>
    <cellStyle name="Normal 2 4 5 7 4" xfId="10159" xr:uid="{4F1598FD-33AA-4319-8971-FB35CF9B3E82}"/>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DFDEBE03-494F-436F-907E-1DD10169C90C}"/>
    <cellStyle name="Normal 2 4 5 8 2 3" xfId="12717" xr:uid="{0806923A-0782-4C85-A34C-2AD8AC06A4C0}"/>
    <cellStyle name="Normal 2 4 5 8 3" xfId="6348" xr:uid="{00000000-0005-0000-0000-0000D1100000}"/>
    <cellStyle name="Normal 2 4 5 8 3 2" xfId="14790" xr:uid="{6DF4296E-8878-4E07-B785-E33F57B9F7F3}"/>
    <cellStyle name="Normal 2 4 5 8 4" xfId="10572" xr:uid="{719956FA-C114-4DCE-90FA-8668CC2E565D}"/>
    <cellStyle name="Normal 2 4 5 9" xfId="2477" xr:uid="{00000000-0005-0000-0000-0000D2100000}"/>
    <cellStyle name="Normal 2 4 5 9 2" xfId="6761" xr:uid="{00000000-0005-0000-0000-0000D3100000}"/>
    <cellStyle name="Normal 2 4 5 9 2 2" xfId="15203" xr:uid="{8497DC40-89E4-4B1E-8067-359652AD7C8C}"/>
    <cellStyle name="Normal 2 4 5 9 3" xfId="10985" xr:uid="{2CE84E84-06DB-474A-B7D2-C5A1839D7005}"/>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838C66ED-2190-433F-A17F-0EEC6CB1144A}"/>
    <cellStyle name="Normal 2 4 7 2 2 2 3" xfId="11487" xr:uid="{3CF02D74-D0FB-47DA-940C-E6A3DB4FEA4B}"/>
    <cellStyle name="Normal 2 4 7 2 2 3" xfId="5118" xr:uid="{00000000-0005-0000-0000-0000DA100000}"/>
    <cellStyle name="Normal 2 4 7 2 2 3 2" xfId="13560" xr:uid="{04EFADFF-5136-4DCF-BE52-979490924117}"/>
    <cellStyle name="Normal 2 4 7 2 2 4" xfId="9342" xr:uid="{7180B196-6741-48D0-B374-102601A4EC60}"/>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811470BB-6591-4182-B001-682AA49709D0}"/>
    <cellStyle name="Normal 2 4 7 2 3 2 3" xfId="11900" xr:uid="{337AFBFF-32E1-43CF-9325-AC34422EF9B9}"/>
    <cellStyle name="Normal 2 4 7 2 3 3" xfId="5531" xr:uid="{00000000-0005-0000-0000-0000DE100000}"/>
    <cellStyle name="Normal 2 4 7 2 3 3 2" xfId="13973" xr:uid="{454BA078-F15F-47D6-96C2-EEA4EA9A184E}"/>
    <cellStyle name="Normal 2 4 7 2 3 4" xfId="9755" xr:uid="{1CC2CFCB-3EDD-4886-81C2-FC08246B2538}"/>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9DA6BFC0-DFE4-4C13-BC45-324879F4196C}"/>
    <cellStyle name="Normal 2 4 7 2 4 2 3" xfId="12313" xr:uid="{442500D3-AE2C-4163-BCDF-E6AFF7271286}"/>
    <cellStyle name="Normal 2 4 7 2 4 3" xfId="5944" xr:uid="{00000000-0005-0000-0000-0000E2100000}"/>
    <cellStyle name="Normal 2 4 7 2 4 3 2" xfId="14386" xr:uid="{73B49776-7703-4980-9D7A-282DB9C57C9C}"/>
    <cellStyle name="Normal 2 4 7 2 4 4" xfId="10168" xr:uid="{2CB19530-0E3D-4A49-94BE-A6CD5DB70A49}"/>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049EE0CB-FC01-4576-8978-B3B8C62EE08C}"/>
    <cellStyle name="Normal 2 4 7 2 5 2 3" xfId="12726" xr:uid="{CB3D6801-E940-451F-81CD-F3E7DBE89210}"/>
    <cellStyle name="Normal 2 4 7 2 5 3" xfId="6357" xr:uid="{00000000-0005-0000-0000-0000E6100000}"/>
    <cellStyle name="Normal 2 4 7 2 5 3 2" xfId="14799" xr:uid="{92E5FE6C-C01F-45B5-86D0-02A5E2903189}"/>
    <cellStyle name="Normal 2 4 7 2 5 4" xfId="10581" xr:uid="{533C61B2-ECAF-48EC-A76F-C942116A4B62}"/>
    <cellStyle name="Normal 2 4 7 2 6" xfId="2486" xr:uid="{00000000-0005-0000-0000-0000E7100000}"/>
    <cellStyle name="Normal 2 4 7 2 6 2" xfId="6770" xr:uid="{00000000-0005-0000-0000-0000E8100000}"/>
    <cellStyle name="Normal 2 4 7 2 6 2 2" xfId="15212" xr:uid="{8EC2FEC4-E714-44B5-8E1E-4CAF0A464167}"/>
    <cellStyle name="Normal 2 4 7 2 6 3" xfId="10994" xr:uid="{7822F598-7CEF-41CB-BC8D-A9EBB45058F8}"/>
    <cellStyle name="Normal 2 4 7 2 7" xfId="4704" xr:uid="{00000000-0005-0000-0000-0000E9100000}"/>
    <cellStyle name="Normal 2 4 7 2 7 2" xfId="13146" xr:uid="{80BFFC13-27B4-41DA-B54C-8A0C6098525C}"/>
    <cellStyle name="Normal 2 4 7 2 8" xfId="8928" xr:uid="{5B4F4684-40A0-4699-82A1-B5E48B9A6D63}"/>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755605F6-E754-4CE2-B34C-C427DFE8B4B4}"/>
    <cellStyle name="Normal 2 4 7 3 2 3" xfId="11486" xr:uid="{19EB397E-5429-4AB3-AF41-A3F78793BDE4}"/>
    <cellStyle name="Normal 2 4 7 3 3" xfId="5117" xr:uid="{00000000-0005-0000-0000-0000ED100000}"/>
    <cellStyle name="Normal 2 4 7 3 3 2" xfId="13559" xr:uid="{3D6580B5-48F6-4823-A4A3-840846C6D15D}"/>
    <cellStyle name="Normal 2 4 7 3 4" xfId="9341" xr:uid="{A8663C9B-3206-4DC8-B55A-B0DC13088433}"/>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49013392-A634-4729-B403-E1EE5F833162}"/>
    <cellStyle name="Normal 2 4 7 4 2 3" xfId="11899" xr:uid="{4DEC0C03-68E4-46E9-AEFD-ADF4A944536F}"/>
    <cellStyle name="Normal 2 4 7 4 3" xfId="5530" xr:uid="{00000000-0005-0000-0000-0000F1100000}"/>
    <cellStyle name="Normal 2 4 7 4 3 2" xfId="13972" xr:uid="{C6897C98-C1D7-4981-9C43-3A10A6B3ADF7}"/>
    <cellStyle name="Normal 2 4 7 4 4" xfId="9754" xr:uid="{543FF32A-48C4-43CF-85B5-0E3A96FE5190}"/>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C9665CA9-DF89-4142-98A3-C5A785702068}"/>
    <cellStyle name="Normal 2 4 7 5 2 3" xfId="12312" xr:uid="{95DBB01A-A1F1-46EE-8B17-8D94A4C20DEA}"/>
    <cellStyle name="Normal 2 4 7 5 3" xfId="5943" xr:uid="{00000000-0005-0000-0000-0000F5100000}"/>
    <cellStyle name="Normal 2 4 7 5 3 2" xfId="14385" xr:uid="{6B50C5D8-EC4E-4134-BC95-6C77282AEE97}"/>
    <cellStyle name="Normal 2 4 7 5 4" xfId="10167" xr:uid="{95218511-FFA8-46D6-B85C-0DC85FA39144}"/>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FFCA41CB-1840-425C-AF4C-4E9F6ED3B030}"/>
    <cellStyle name="Normal 2 4 7 6 2 3" xfId="12725" xr:uid="{2268A1D0-D664-41DF-BC31-00DBB66E3744}"/>
    <cellStyle name="Normal 2 4 7 6 3" xfId="6356" xr:uid="{00000000-0005-0000-0000-0000F9100000}"/>
    <cellStyle name="Normal 2 4 7 6 3 2" xfId="14798" xr:uid="{7AFA2801-3EF8-4B34-AFD6-E31F9C340E2F}"/>
    <cellStyle name="Normal 2 4 7 6 4" xfId="10580" xr:uid="{76789502-7143-41BC-8172-7F4282621769}"/>
    <cellStyle name="Normal 2 4 7 7" xfId="2485" xr:uid="{00000000-0005-0000-0000-0000FA100000}"/>
    <cellStyle name="Normal 2 4 7 7 2" xfId="6769" xr:uid="{00000000-0005-0000-0000-0000FB100000}"/>
    <cellStyle name="Normal 2 4 7 7 2 2" xfId="15211" xr:uid="{DA349410-8CB2-457C-9533-D64E65B999DC}"/>
    <cellStyle name="Normal 2 4 7 7 3" xfId="10993" xr:uid="{08965738-AB55-43A7-A0E1-CF626DF5CDAB}"/>
    <cellStyle name="Normal 2 4 7 8" xfId="4703" xr:uid="{00000000-0005-0000-0000-0000FC100000}"/>
    <cellStyle name="Normal 2 4 7 8 2" xfId="13145" xr:uid="{F102FFB4-1C9A-4529-8A5F-7B601D26D886}"/>
    <cellStyle name="Normal 2 4 7 9" xfId="8927" xr:uid="{0A7A7AAD-68AC-49EB-BBD2-EFB50A4FD25E}"/>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E4D81D00-10C2-4DC1-8FB9-1AA4FF2F3DDC}"/>
    <cellStyle name="Normal 2 4 8 2 2 3" xfId="11488" xr:uid="{355CFE3F-888E-40A8-9E86-F3D92D567736}"/>
    <cellStyle name="Normal 2 4 8 2 3" xfId="5119" xr:uid="{00000000-0005-0000-0000-000001110000}"/>
    <cellStyle name="Normal 2 4 8 2 3 2" xfId="13561" xr:uid="{6705820F-D67E-477A-9576-9E4DA81AD74E}"/>
    <cellStyle name="Normal 2 4 8 2 4" xfId="9343" xr:uid="{0536ADB2-963B-45E6-A9E2-F1791E07C083}"/>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966688D7-1636-4F61-A663-39709CAB10F8}"/>
    <cellStyle name="Normal 2 4 8 3 2 3" xfId="11901" xr:uid="{D633B211-2D35-415E-B8B0-626EAB721B40}"/>
    <cellStyle name="Normal 2 4 8 3 3" xfId="5532" xr:uid="{00000000-0005-0000-0000-000005110000}"/>
    <cellStyle name="Normal 2 4 8 3 3 2" xfId="13974" xr:uid="{9AA90C25-6CE3-4C67-9DE5-A2E4636576C9}"/>
    <cellStyle name="Normal 2 4 8 3 4" xfId="9756" xr:uid="{B73098A1-34DD-44D2-A611-7CF9A6795343}"/>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4D6DD9C6-EA3F-4EC6-AF19-10A1DC224C0F}"/>
    <cellStyle name="Normal 2 4 8 4 2 3" xfId="12314" xr:uid="{3F5520FE-5B2C-49D7-AD83-1361361329F7}"/>
    <cellStyle name="Normal 2 4 8 4 3" xfId="5945" xr:uid="{00000000-0005-0000-0000-000009110000}"/>
    <cellStyle name="Normal 2 4 8 4 3 2" xfId="14387" xr:uid="{3E23A95E-CBAF-453C-BEF1-F9547A263951}"/>
    <cellStyle name="Normal 2 4 8 4 4" xfId="10169" xr:uid="{14A8CC19-5994-4BBE-9E19-2CDA69F6BBB6}"/>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377BCC84-9DC6-4EE5-B67C-28B1373A1866}"/>
    <cellStyle name="Normal 2 4 8 5 2 3" xfId="12727" xr:uid="{0677B6A0-0B73-4E0F-B411-5393EB7084B3}"/>
    <cellStyle name="Normal 2 4 8 5 3" xfId="6358" xr:uid="{00000000-0005-0000-0000-00000D110000}"/>
    <cellStyle name="Normal 2 4 8 5 3 2" xfId="14800" xr:uid="{515271DC-3637-47EA-AFD8-9DC728E0EC60}"/>
    <cellStyle name="Normal 2 4 8 5 4" xfId="10582" xr:uid="{7BB35E9A-F485-4628-9C92-B76EB11C6F16}"/>
    <cellStyle name="Normal 2 4 8 6" xfId="2487" xr:uid="{00000000-0005-0000-0000-00000E110000}"/>
    <cellStyle name="Normal 2 4 8 6 2" xfId="6771" xr:uid="{00000000-0005-0000-0000-00000F110000}"/>
    <cellStyle name="Normal 2 4 8 6 2 2" xfId="15213" xr:uid="{1FDED095-FE72-4766-944B-DF2953863ED6}"/>
    <cellStyle name="Normal 2 4 8 6 3" xfId="10995" xr:uid="{2E19B0C8-F7E0-4120-A5EB-FAD549A80D6D}"/>
    <cellStyle name="Normal 2 4 8 7" xfId="4705" xr:uid="{00000000-0005-0000-0000-000010110000}"/>
    <cellStyle name="Normal 2 4 8 7 2" xfId="13147" xr:uid="{DBE848BF-FB6F-4F9E-A43D-1C87E083D623}"/>
    <cellStyle name="Normal 2 4 8 8" xfId="8929" xr:uid="{4F882473-7B1A-49E8-AB71-593B2D908FC3}"/>
    <cellStyle name="Normal 2 5" xfId="315" xr:uid="{00000000-0005-0000-0000-000011110000}"/>
    <cellStyle name="Normal 2 5 10" xfId="4706" xr:uid="{00000000-0005-0000-0000-000012110000}"/>
    <cellStyle name="Normal 2 5 10 2" xfId="13148" xr:uid="{9B58BF0B-4808-48A5-BBDF-59B198E7E3E6}"/>
    <cellStyle name="Normal 2 5 11" xfId="8930" xr:uid="{723163E7-8DED-4441-9A65-0C3911DF9213}"/>
    <cellStyle name="Normal 2 5 2" xfId="316" xr:uid="{00000000-0005-0000-0000-000013110000}"/>
    <cellStyle name="Normal 2 5 3" xfId="317" xr:uid="{00000000-0005-0000-0000-000014110000}"/>
    <cellStyle name="Normal 2 5 4" xfId="318" xr:uid="{00000000-0005-0000-0000-000015110000}"/>
    <cellStyle name="Normal 2 5 4 10" xfId="8931" xr:uid="{27455E6A-499E-496F-8F48-635437CAB679}"/>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5F11E41A-9D38-4E87-A121-D1ACF146AD6C}"/>
    <cellStyle name="Normal 2 5 4 2 2 2 2 3" xfId="11492" xr:uid="{F50ED07F-E552-4A1D-BE1A-A6023627C0D5}"/>
    <cellStyle name="Normal 2 5 4 2 2 2 3" xfId="5123" xr:uid="{00000000-0005-0000-0000-00001B110000}"/>
    <cellStyle name="Normal 2 5 4 2 2 2 3 2" xfId="13565" xr:uid="{4CED136B-0AF1-414B-B061-9C2F85213884}"/>
    <cellStyle name="Normal 2 5 4 2 2 2 4" xfId="9347" xr:uid="{437413D1-F34F-4DDD-B46A-DC36D5AA20E3}"/>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F6197DC5-2A5B-40F2-B840-D131DD6D50CE}"/>
    <cellStyle name="Normal 2 5 4 2 2 3 2 3" xfId="11905" xr:uid="{FDC0C868-13A8-40BE-9484-D1EB9E154140}"/>
    <cellStyle name="Normal 2 5 4 2 2 3 3" xfId="5536" xr:uid="{00000000-0005-0000-0000-00001F110000}"/>
    <cellStyle name="Normal 2 5 4 2 2 3 3 2" xfId="13978" xr:uid="{0F5B68E7-3745-4375-955D-C7F6C2ADABC5}"/>
    <cellStyle name="Normal 2 5 4 2 2 3 4" xfId="9760" xr:uid="{DD015AF3-1889-463A-87B7-01894516FE23}"/>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46856F4C-3471-4EAE-A2E7-6AD081218339}"/>
    <cellStyle name="Normal 2 5 4 2 2 4 2 3" xfId="12318" xr:uid="{A56F1E0A-F01A-44EC-9C56-DC5082243506}"/>
    <cellStyle name="Normal 2 5 4 2 2 4 3" xfId="5949" xr:uid="{00000000-0005-0000-0000-000023110000}"/>
    <cellStyle name="Normal 2 5 4 2 2 4 3 2" xfId="14391" xr:uid="{76FE52A4-2B95-44BF-80E5-3E272DC69A1C}"/>
    <cellStyle name="Normal 2 5 4 2 2 4 4" xfId="10173" xr:uid="{645FF3B5-A20B-4BC4-B040-464D7186DA0F}"/>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25E5DA64-05FE-4DBC-AB1B-7766D898B655}"/>
    <cellStyle name="Normal 2 5 4 2 2 5 2 3" xfId="12731" xr:uid="{45C2888A-FE75-4DFC-8714-8B62B673680C}"/>
    <cellStyle name="Normal 2 5 4 2 2 5 3" xfId="6362" xr:uid="{00000000-0005-0000-0000-000027110000}"/>
    <cellStyle name="Normal 2 5 4 2 2 5 3 2" xfId="14804" xr:uid="{0AE95346-C43C-4407-A917-C03E50A705CA}"/>
    <cellStyle name="Normal 2 5 4 2 2 5 4" xfId="10586" xr:uid="{3D76091E-F8A0-4257-A18E-5F7083C6BDE4}"/>
    <cellStyle name="Normal 2 5 4 2 2 6" xfId="2491" xr:uid="{00000000-0005-0000-0000-000028110000}"/>
    <cellStyle name="Normal 2 5 4 2 2 6 2" xfId="6775" xr:uid="{00000000-0005-0000-0000-000029110000}"/>
    <cellStyle name="Normal 2 5 4 2 2 6 2 2" xfId="15217" xr:uid="{145B012B-806B-4F52-B87F-F2BB2F62F9C1}"/>
    <cellStyle name="Normal 2 5 4 2 2 6 3" xfId="10999" xr:uid="{D447801C-4642-47F6-AC61-A0E810C90DFE}"/>
    <cellStyle name="Normal 2 5 4 2 2 7" xfId="4709" xr:uid="{00000000-0005-0000-0000-00002A110000}"/>
    <cellStyle name="Normal 2 5 4 2 2 7 2" xfId="13151" xr:uid="{98E31479-7BB5-4147-95C7-00DDE08E2A12}"/>
    <cellStyle name="Normal 2 5 4 2 2 8" xfId="8933" xr:uid="{3495DA90-3015-4CA1-83D1-2A6CC8E23A46}"/>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95038F9C-FC6D-453A-A96A-97F70C3973D0}"/>
    <cellStyle name="Normal 2 5 4 2 3 2 3" xfId="11491" xr:uid="{BE4377AD-C98E-4DC7-B40F-7846F40A3C75}"/>
    <cellStyle name="Normal 2 5 4 2 3 3" xfId="5122" xr:uid="{00000000-0005-0000-0000-00002E110000}"/>
    <cellStyle name="Normal 2 5 4 2 3 3 2" xfId="13564" xr:uid="{02FE16AD-5503-4810-B8DF-5332EE7D609A}"/>
    <cellStyle name="Normal 2 5 4 2 3 4" xfId="9346" xr:uid="{4904226B-1AD7-4EA1-9D01-73243E6FB700}"/>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1498BF25-C117-4EA4-91E3-1A43A52B7FC7}"/>
    <cellStyle name="Normal 2 5 4 2 4 2 3" xfId="11904" xr:uid="{B46438A7-9641-4155-B1EE-8B5059829F02}"/>
    <cellStyle name="Normal 2 5 4 2 4 3" xfId="5535" xr:uid="{00000000-0005-0000-0000-000032110000}"/>
    <cellStyle name="Normal 2 5 4 2 4 3 2" xfId="13977" xr:uid="{EFC54A5E-55CC-433B-9218-362F4173762C}"/>
    <cellStyle name="Normal 2 5 4 2 4 4" xfId="9759" xr:uid="{053B9A4F-AF11-40E2-99DE-43939BC22383}"/>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123AE7C8-C362-41CC-AFF1-14BFD434E572}"/>
    <cellStyle name="Normal 2 5 4 2 5 2 3" xfId="12317" xr:uid="{0F7C7949-E5F8-48EA-9ECD-56D7F097D4E2}"/>
    <cellStyle name="Normal 2 5 4 2 5 3" xfId="5948" xr:uid="{00000000-0005-0000-0000-000036110000}"/>
    <cellStyle name="Normal 2 5 4 2 5 3 2" xfId="14390" xr:uid="{B4E3D436-8200-487B-A270-5CF3C53A01DC}"/>
    <cellStyle name="Normal 2 5 4 2 5 4" xfId="10172" xr:uid="{DCA0990A-B477-43FE-9A00-DC09A9597EAA}"/>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ED7F0618-218F-4407-B63F-87C5E0C3C869}"/>
    <cellStyle name="Normal 2 5 4 2 6 2 3" xfId="12730" xr:uid="{7A467774-3F02-4220-8BCE-214E5BBCA7FD}"/>
    <cellStyle name="Normal 2 5 4 2 6 3" xfId="6361" xr:uid="{00000000-0005-0000-0000-00003A110000}"/>
    <cellStyle name="Normal 2 5 4 2 6 3 2" xfId="14803" xr:uid="{FFDD91F6-A112-42C2-99C5-06898B64D3E1}"/>
    <cellStyle name="Normal 2 5 4 2 6 4" xfId="10585" xr:uid="{C322A127-AF5B-4E8A-838F-EB08881E12FD}"/>
    <cellStyle name="Normal 2 5 4 2 7" xfId="2490" xr:uid="{00000000-0005-0000-0000-00003B110000}"/>
    <cellStyle name="Normal 2 5 4 2 7 2" xfId="6774" xr:uid="{00000000-0005-0000-0000-00003C110000}"/>
    <cellStyle name="Normal 2 5 4 2 7 2 2" xfId="15216" xr:uid="{61B35076-62EE-4434-82A6-09A34400103E}"/>
    <cellStyle name="Normal 2 5 4 2 7 3" xfId="10998" xr:uid="{6BDD998B-98FE-40A1-B4B1-ECC4813D2F06}"/>
    <cellStyle name="Normal 2 5 4 2 8" xfId="4708" xr:uid="{00000000-0005-0000-0000-00003D110000}"/>
    <cellStyle name="Normal 2 5 4 2 8 2" xfId="13150" xr:uid="{E8FF4C08-A510-447F-A895-DCBC48253633}"/>
    <cellStyle name="Normal 2 5 4 2 9" xfId="8932" xr:uid="{9EB59154-CF2E-4FCB-B912-7AAB9432EB8D}"/>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3F8E377E-8E0F-4DFC-96D1-236228A19237}"/>
    <cellStyle name="Normal 2 5 4 3 2 2 3" xfId="11493" xr:uid="{E1A00603-FEA9-416B-AC7D-90562BD9F165}"/>
    <cellStyle name="Normal 2 5 4 3 2 3" xfId="5124" xr:uid="{00000000-0005-0000-0000-000042110000}"/>
    <cellStyle name="Normal 2 5 4 3 2 3 2" xfId="13566" xr:uid="{A5C7BFF7-B3A1-4FCA-A7CE-1B6D95F45334}"/>
    <cellStyle name="Normal 2 5 4 3 2 4" xfId="9348" xr:uid="{ADA99923-15EB-4C2C-B4D6-E4755F08C426}"/>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626D86E4-496C-499F-B405-3D9B775C8569}"/>
    <cellStyle name="Normal 2 5 4 3 3 2 3" xfId="11906" xr:uid="{7270ECCB-A09C-4BA6-9810-BE64490FF767}"/>
    <cellStyle name="Normal 2 5 4 3 3 3" xfId="5537" xr:uid="{00000000-0005-0000-0000-000046110000}"/>
    <cellStyle name="Normal 2 5 4 3 3 3 2" xfId="13979" xr:uid="{67E8D126-E2E4-4394-AE0F-EED9B4B70CFA}"/>
    <cellStyle name="Normal 2 5 4 3 3 4" xfId="9761" xr:uid="{30BCD334-111A-4900-A236-BCAC13670DAC}"/>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DD5A1874-30EC-46AC-A2FA-E20CC129F9A9}"/>
    <cellStyle name="Normal 2 5 4 3 4 2 3" xfId="12319" xr:uid="{B7202712-1CF8-49B2-9C9A-5BEBA7A56E0C}"/>
    <cellStyle name="Normal 2 5 4 3 4 3" xfId="5950" xr:uid="{00000000-0005-0000-0000-00004A110000}"/>
    <cellStyle name="Normal 2 5 4 3 4 3 2" xfId="14392" xr:uid="{4549FB07-56CB-4EDC-B227-C2D678DA23C1}"/>
    <cellStyle name="Normal 2 5 4 3 4 4" xfId="10174" xr:uid="{3B83E6F1-9373-4896-A98D-D7CC7AF58AFA}"/>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177737C4-6657-4A95-A937-6B5374A0E8DE}"/>
    <cellStyle name="Normal 2 5 4 3 5 2 3" xfId="12732" xr:uid="{EDADD075-F4A3-4965-AECF-5EB647DC0CF5}"/>
    <cellStyle name="Normal 2 5 4 3 5 3" xfId="6363" xr:uid="{00000000-0005-0000-0000-00004E110000}"/>
    <cellStyle name="Normal 2 5 4 3 5 3 2" xfId="14805" xr:uid="{D69A069D-06B7-480A-83BB-CBDCDE85BCD7}"/>
    <cellStyle name="Normal 2 5 4 3 5 4" xfId="10587" xr:uid="{41B9D3AF-B6C9-4313-9FA4-891BF42A58D2}"/>
    <cellStyle name="Normal 2 5 4 3 6" xfId="2492" xr:uid="{00000000-0005-0000-0000-00004F110000}"/>
    <cellStyle name="Normal 2 5 4 3 6 2" xfId="6776" xr:uid="{00000000-0005-0000-0000-000050110000}"/>
    <cellStyle name="Normal 2 5 4 3 6 2 2" xfId="15218" xr:uid="{1A99D44B-1AB3-4166-A3E1-122F40A3E77C}"/>
    <cellStyle name="Normal 2 5 4 3 6 3" xfId="11000" xr:uid="{089241BB-8899-4B9C-80B7-F73ED7B93883}"/>
    <cellStyle name="Normal 2 5 4 3 7" xfId="4710" xr:uid="{00000000-0005-0000-0000-000051110000}"/>
    <cellStyle name="Normal 2 5 4 3 7 2" xfId="13152" xr:uid="{26B19496-DB48-4926-AADB-78BAF14F85A1}"/>
    <cellStyle name="Normal 2 5 4 3 8" xfId="8934" xr:uid="{409CAE1D-19A3-4E1B-9224-36028B62A14E}"/>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98BA525D-C65F-4879-8AA3-39CC8F9D6F56}"/>
    <cellStyle name="Normal 2 5 4 4 2 3" xfId="11490" xr:uid="{CA9B1EDA-0A0B-42A9-A3C4-F60FE38E2534}"/>
    <cellStyle name="Normal 2 5 4 4 3" xfId="5121" xr:uid="{00000000-0005-0000-0000-000055110000}"/>
    <cellStyle name="Normal 2 5 4 4 3 2" xfId="13563" xr:uid="{2594F954-D1DB-4764-89EC-285BDC0DDA38}"/>
    <cellStyle name="Normal 2 5 4 4 4" xfId="9345" xr:uid="{A5114C46-A318-4EE2-B394-84B0DABA67A6}"/>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474A32A2-0B57-43BE-B6A1-A68C719E4FC5}"/>
    <cellStyle name="Normal 2 5 4 5 2 3" xfId="11903" xr:uid="{8D7B111B-D064-4DF0-86E7-6E70AEDBB5E9}"/>
    <cellStyle name="Normal 2 5 4 5 3" xfId="5534" xr:uid="{00000000-0005-0000-0000-000059110000}"/>
    <cellStyle name="Normal 2 5 4 5 3 2" xfId="13976" xr:uid="{D0710CC0-2677-4758-8487-E169CBD6B513}"/>
    <cellStyle name="Normal 2 5 4 5 4" xfId="9758" xr:uid="{461C5DFF-7315-460E-ABD6-45CF76E1350A}"/>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2C479E80-6C0C-443F-B254-CDA336BBB62D}"/>
    <cellStyle name="Normal 2 5 4 6 2 3" xfId="12316" xr:uid="{5ACBE177-8FCB-42E8-B1CF-1FE24C372974}"/>
    <cellStyle name="Normal 2 5 4 6 3" xfId="5947" xr:uid="{00000000-0005-0000-0000-00005D110000}"/>
    <cellStyle name="Normal 2 5 4 6 3 2" xfId="14389" xr:uid="{CBE755A1-EB36-4AE7-9834-C570255A553F}"/>
    <cellStyle name="Normal 2 5 4 6 4" xfId="10171" xr:uid="{7050AB47-8CB5-4959-8710-20C3C82A6948}"/>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347AAC96-2600-47F4-A3A4-123BFB44A92D}"/>
    <cellStyle name="Normal 2 5 4 7 2 3" xfId="12729" xr:uid="{3D12C994-D151-40F0-88F6-B826688FD061}"/>
    <cellStyle name="Normal 2 5 4 7 3" xfId="6360" xr:uid="{00000000-0005-0000-0000-000061110000}"/>
    <cellStyle name="Normal 2 5 4 7 3 2" xfId="14802" xr:uid="{D1FC4A38-C09D-43E2-AF7D-E0D8D004A8B6}"/>
    <cellStyle name="Normal 2 5 4 7 4" xfId="10584" xr:uid="{9B4F0982-D513-4612-8EE1-7C58B67D8FB8}"/>
    <cellStyle name="Normal 2 5 4 8" xfId="2489" xr:uid="{00000000-0005-0000-0000-000062110000}"/>
    <cellStyle name="Normal 2 5 4 8 2" xfId="6773" xr:uid="{00000000-0005-0000-0000-000063110000}"/>
    <cellStyle name="Normal 2 5 4 8 2 2" xfId="15215" xr:uid="{54A5AE0B-AE3C-4E91-A3B7-0A798A63AA62}"/>
    <cellStyle name="Normal 2 5 4 8 3" xfId="10997" xr:uid="{F8D3293A-E8B0-417E-8890-99CC60B4DD09}"/>
    <cellStyle name="Normal 2 5 4 9" xfId="4707" xr:uid="{00000000-0005-0000-0000-000064110000}"/>
    <cellStyle name="Normal 2 5 4 9 2" xfId="13149" xr:uid="{03BF38AD-DBE5-4504-8568-F7527D39013E}"/>
    <cellStyle name="Normal 2 5 5" xfId="803" xr:uid="{00000000-0005-0000-0000-000065110000}"/>
    <cellStyle name="Normal 2 5 5 2" xfId="3042" xr:uid="{00000000-0005-0000-0000-000066110000}"/>
    <cellStyle name="Normal 2 5 5 2 2" xfId="7265" xr:uid="{00000000-0005-0000-0000-000067110000}"/>
    <cellStyle name="Normal 2 5 5 2 2 2" xfId="15707" xr:uid="{BFFB6817-AD83-4FBF-B8CF-8BD7F9019746}"/>
    <cellStyle name="Normal 2 5 5 2 3" xfId="11489" xr:uid="{F2842134-F2AD-4ED2-802C-90730ED2C35B}"/>
    <cellStyle name="Normal 2 5 5 3" xfId="5120" xr:uid="{00000000-0005-0000-0000-000068110000}"/>
    <cellStyle name="Normal 2 5 5 3 2" xfId="13562" xr:uid="{25773807-DAD6-4DB7-8C96-63911BECB11C}"/>
    <cellStyle name="Normal 2 5 5 4" xfId="9344" xr:uid="{B92168B2-53CE-4EF8-8AF9-F40A221FDDAE}"/>
    <cellStyle name="Normal 2 5 6" xfId="1225" xr:uid="{00000000-0005-0000-0000-000069110000}"/>
    <cellStyle name="Normal 2 5 6 2" xfId="3455" xr:uid="{00000000-0005-0000-0000-00006A110000}"/>
    <cellStyle name="Normal 2 5 6 2 2" xfId="7678" xr:uid="{00000000-0005-0000-0000-00006B110000}"/>
    <cellStyle name="Normal 2 5 6 2 2 2" xfId="16120" xr:uid="{70A23067-09C6-4F38-B166-E4D66B5407B8}"/>
    <cellStyle name="Normal 2 5 6 2 3" xfId="11902" xr:uid="{0EC32605-FAD9-4628-B9F0-BEB1B857989A}"/>
    <cellStyle name="Normal 2 5 6 3" xfId="5533" xr:uid="{00000000-0005-0000-0000-00006C110000}"/>
    <cellStyle name="Normal 2 5 6 3 2" xfId="13975" xr:uid="{1C649E1A-3BC1-4376-A77E-6EC601C0411F}"/>
    <cellStyle name="Normal 2 5 6 4" xfId="9757" xr:uid="{8B9E6256-BA47-4A57-8F79-EC3C1DB5FB13}"/>
    <cellStyle name="Normal 2 5 7" xfId="1638" xr:uid="{00000000-0005-0000-0000-00006D110000}"/>
    <cellStyle name="Normal 2 5 7 2" xfId="3868" xr:uid="{00000000-0005-0000-0000-00006E110000}"/>
    <cellStyle name="Normal 2 5 7 2 2" xfId="8091" xr:uid="{00000000-0005-0000-0000-00006F110000}"/>
    <cellStyle name="Normal 2 5 7 2 2 2" xfId="16533" xr:uid="{5FD65668-63AD-476F-820E-BC90AD1E56B5}"/>
    <cellStyle name="Normal 2 5 7 2 3" xfId="12315" xr:uid="{7902A1CD-EDFC-4F11-830A-F505C8AEB98A}"/>
    <cellStyle name="Normal 2 5 7 3" xfId="5946" xr:uid="{00000000-0005-0000-0000-000070110000}"/>
    <cellStyle name="Normal 2 5 7 3 2" xfId="14388" xr:uid="{55C35997-B580-4628-9D2C-5AB34259B093}"/>
    <cellStyle name="Normal 2 5 7 4" xfId="10170" xr:uid="{3A7CF802-FD10-494D-8115-D415F4346FA3}"/>
    <cellStyle name="Normal 2 5 8" xfId="2052" xr:uid="{00000000-0005-0000-0000-000071110000}"/>
    <cellStyle name="Normal 2 5 8 2" xfId="4281" xr:uid="{00000000-0005-0000-0000-000072110000}"/>
    <cellStyle name="Normal 2 5 8 2 2" xfId="8504" xr:uid="{00000000-0005-0000-0000-000073110000}"/>
    <cellStyle name="Normal 2 5 8 2 2 2" xfId="16946" xr:uid="{A1CC95C3-2A28-485B-8CB4-1553A316A959}"/>
    <cellStyle name="Normal 2 5 8 2 3" xfId="12728" xr:uid="{6207C85E-28E2-42E3-A5DF-FDA7AE90268F}"/>
    <cellStyle name="Normal 2 5 8 3" xfId="6359" xr:uid="{00000000-0005-0000-0000-000074110000}"/>
    <cellStyle name="Normal 2 5 8 3 2" xfId="14801" xr:uid="{48C9067D-17A6-40EC-B7FD-97ABC7256BBE}"/>
    <cellStyle name="Normal 2 5 8 4" xfId="10583" xr:uid="{3F781ACC-7847-4AC1-B4EC-C2203032E69F}"/>
    <cellStyle name="Normal 2 5 9" xfId="2488" xr:uid="{00000000-0005-0000-0000-000075110000}"/>
    <cellStyle name="Normal 2 5 9 2" xfId="6772" xr:uid="{00000000-0005-0000-0000-000076110000}"/>
    <cellStyle name="Normal 2 5 9 2 2" xfId="15214" xr:uid="{AA4DD13C-0E04-4AD1-BE48-1E5395F98E91}"/>
    <cellStyle name="Normal 2 5 9 3" xfId="10996" xr:uid="{3E232BDC-5098-4B8D-BDE9-8D45BE93B958}"/>
    <cellStyle name="Normal 2 6" xfId="322" xr:uid="{00000000-0005-0000-0000-000077110000}"/>
    <cellStyle name="Normal 2 7" xfId="769" xr:uid="{00000000-0005-0000-0000-000078110000}"/>
    <cellStyle name="Normal 2 8" xfId="4495" xr:uid="{00000000-0005-0000-0000-000079110000}"/>
    <cellStyle name="Normal 2 8 2" xfId="12940" xr:uid="{B855BF73-9CEC-4B3C-8BF4-04D54F0EC5E0}"/>
    <cellStyle name="Normal 3" xfId="323" xr:uid="{00000000-0005-0000-0000-00007A110000}"/>
    <cellStyle name="Normal 3 2" xfId="324" xr:uid="{00000000-0005-0000-0000-00007B110000}"/>
    <cellStyle name="Normal 3 2 10" xfId="8935" xr:uid="{11CEDC23-EEB6-4C06-8DA5-3BAA5C775FAB}"/>
    <cellStyle name="Normal 3 2 2" xfId="325" xr:uid="{00000000-0005-0000-0000-00007C110000}"/>
    <cellStyle name="Normal 3 2 2 2" xfId="810" xr:uid="{00000000-0005-0000-0000-00007D110000}"/>
    <cellStyle name="Normal 3 2 3" xfId="326" xr:uid="{00000000-0005-0000-0000-00007E110000}"/>
    <cellStyle name="Normal 3 2 3 10" xfId="8936" xr:uid="{FEA18B9A-E22F-403E-84E5-FDC1F5AFA1C3}"/>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2CF831E2-B066-43E5-AA87-774A7B018364}"/>
    <cellStyle name="Normal 3 2 3 2 2 2 2 3" xfId="11497" xr:uid="{47220202-92A6-4405-8F2B-6E152584E9AB}"/>
    <cellStyle name="Normal 3 2 3 2 2 2 3" xfId="5128" xr:uid="{00000000-0005-0000-0000-000084110000}"/>
    <cellStyle name="Normal 3 2 3 2 2 2 3 2" xfId="13570" xr:uid="{CCD59C3D-DB93-46AC-A301-4BB20D6B819A}"/>
    <cellStyle name="Normal 3 2 3 2 2 2 4" xfId="9352" xr:uid="{F22D1EBD-9A91-4480-A417-79FC34C47FF5}"/>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5751DD11-E40A-4780-8AD5-006BF08CC49D}"/>
    <cellStyle name="Normal 3 2 3 2 2 3 2 3" xfId="11910" xr:uid="{CD76FA2C-3C73-4620-8789-B8A519F5C9E3}"/>
    <cellStyle name="Normal 3 2 3 2 2 3 3" xfId="5541" xr:uid="{00000000-0005-0000-0000-000088110000}"/>
    <cellStyle name="Normal 3 2 3 2 2 3 3 2" xfId="13983" xr:uid="{9BC2C11B-5770-4207-A72E-280E5CCD3C48}"/>
    <cellStyle name="Normal 3 2 3 2 2 3 4" xfId="9765" xr:uid="{16184D6A-A28C-4A15-9262-3105452399F7}"/>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E10D7C89-9F15-41BF-95F4-02E17F9ECC22}"/>
    <cellStyle name="Normal 3 2 3 2 2 4 2 3" xfId="12323" xr:uid="{738BA8F0-4F92-4ECB-A698-03676B41FF5D}"/>
    <cellStyle name="Normal 3 2 3 2 2 4 3" xfId="5954" xr:uid="{00000000-0005-0000-0000-00008C110000}"/>
    <cellStyle name="Normal 3 2 3 2 2 4 3 2" xfId="14396" xr:uid="{574877AC-89AC-40C9-AA9A-0B50B4E35E56}"/>
    <cellStyle name="Normal 3 2 3 2 2 4 4" xfId="10178" xr:uid="{7892D94B-406C-4963-9BC7-568D40BFB287}"/>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F4B9B248-C222-4EA7-9CD6-D786D12E3682}"/>
    <cellStyle name="Normal 3 2 3 2 2 5 2 3" xfId="12736" xr:uid="{3B21F517-D63F-484A-B9E3-02F811C7155F}"/>
    <cellStyle name="Normal 3 2 3 2 2 5 3" xfId="6367" xr:uid="{00000000-0005-0000-0000-000090110000}"/>
    <cellStyle name="Normal 3 2 3 2 2 5 3 2" xfId="14809" xr:uid="{954AD3B2-71E1-48E4-9E9E-98045C577A32}"/>
    <cellStyle name="Normal 3 2 3 2 2 5 4" xfId="10591" xr:uid="{7CFDFC03-FC03-4181-AE80-A9192151D6CA}"/>
    <cellStyle name="Normal 3 2 3 2 2 6" xfId="2496" xr:uid="{00000000-0005-0000-0000-000091110000}"/>
    <cellStyle name="Normal 3 2 3 2 2 6 2" xfId="6780" xr:uid="{00000000-0005-0000-0000-000092110000}"/>
    <cellStyle name="Normal 3 2 3 2 2 6 2 2" xfId="15222" xr:uid="{5420AE44-D99F-4F52-87B4-C8ED84DAE734}"/>
    <cellStyle name="Normal 3 2 3 2 2 6 3" xfId="11004" xr:uid="{DCF97C5E-6828-408E-A1FB-ECEB74118BB9}"/>
    <cellStyle name="Normal 3 2 3 2 2 7" xfId="4714" xr:uid="{00000000-0005-0000-0000-000093110000}"/>
    <cellStyle name="Normal 3 2 3 2 2 7 2" xfId="13156" xr:uid="{A7B2C2DE-AA80-41D8-9CB4-986D0489FB64}"/>
    <cellStyle name="Normal 3 2 3 2 2 8" xfId="8938" xr:uid="{5C6A730D-B954-4F48-BB28-3B2E3C28DAC0}"/>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5E00550E-F49A-4BFF-9D34-8A1E8FFABE91}"/>
    <cellStyle name="Normal 3 2 3 2 3 2 3" xfId="11496" xr:uid="{C7EAACE2-E11F-4336-BA4C-83B15970C6A6}"/>
    <cellStyle name="Normal 3 2 3 2 3 3" xfId="5127" xr:uid="{00000000-0005-0000-0000-000097110000}"/>
    <cellStyle name="Normal 3 2 3 2 3 3 2" xfId="13569" xr:uid="{50A8B6B2-2502-4EC9-954D-CC8CB673E1DA}"/>
    <cellStyle name="Normal 3 2 3 2 3 4" xfId="9351" xr:uid="{D72BDC1B-7946-4C91-A508-C7F3338C49D7}"/>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4483E59B-FD82-44A8-85BD-CE42C640D9E3}"/>
    <cellStyle name="Normal 3 2 3 2 4 2 3" xfId="11909" xr:uid="{BBD9FF53-1EAF-48C2-9019-990E96E10E55}"/>
    <cellStyle name="Normal 3 2 3 2 4 3" xfId="5540" xr:uid="{00000000-0005-0000-0000-00009B110000}"/>
    <cellStyle name="Normal 3 2 3 2 4 3 2" xfId="13982" xr:uid="{98E60B91-52FD-436E-BBF9-65914A95E11B}"/>
    <cellStyle name="Normal 3 2 3 2 4 4" xfId="9764" xr:uid="{752A9B8B-FDDA-49E5-A50A-B039D4E61EE8}"/>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4D8A797F-2299-4BEB-9A93-BC4F95671089}"/>
    <cellStyle name="Normal 3 2 3 2 5 2 3" xfId="12322" xr:uid="{7301897B-F43B-49B9-8A59-935EC83D4037}"/>
    <cellStyle name="Normal 3 2 3 2 5 3" xfId="5953" xr:uid="{00000000-0005-0000-0000-00009F110000}"/>
    <cellStyle name="Normal 3 2 3 2 5 3 2" xfId="14395" xr:uid="{63DA3791-61CB-4ADF-84E7-97D30AE97122}"/>
    <cellStyle name="Normal 3 2 3 2 5 4" xfId="10177" xr:uid="{44FED530-29D2-42CE-9BB9-8985E53C1743}"/>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E7EC5AB9-F8C2-4AB0-A982-58019C88AA75}"/>
    <cellStyle name="Normal 3 2 3 2 6 2 3" xfId="12735" xr:uid="{CFA9F829-BE17-49A8-9C72-BFDFC6C0D17D}"/>
    <cellStyle name="Normal 3 2 3 2 6 3" xfId="6366" xr:uid="{00000000-0005-0000-0000-0000A3110000}"/>
    <cellStyle name="Normal 3 2 3 2 6 3 2" xfId="14808" xr:uid="{D24754AE-9505-44F1-9F6A-C2194C726CF2}"/>
    <cellStyle name="Normal 3 2 3 2 6 4" xfId="10590" xr:uid="{BF4941FD-31F6-4301-81AC-6FDCED22CE17}"/>
    <cellStyle name="Normal 3 2 3 2 7" xfId="2495" xr:uid="{00000000-0005-0000-0000-0000A4110000}"/>
    <cellStyle name="Normal 3 2 3 2 7 2" xfId="6779" xr:uid="{00000000-0005-0000-0000-0000A5110000}"/>
    <cellStyle name="Normal 3 2 3 2 7 2 2" xfId="15221" xr:uid="{9E47634F-9E8F-4D68-B9D1-3DD365747575}"/>
    <cellStyle name="Normal 3 2 3 2 7 3" xfId="11003" xr:uid="{211E3992-104C-4279-952B-675EFF81BCF7}"/>
    <cellStyle name="Normal 3 2 3 2 8" xfId="4713" xr:uid="{00000000-0005-0000-0000-0000A6110000}"/>
    <cellStyle name="Normal 3 2 3 2 8 2" xfId="13155" xr:uid="{F0A1CE47-9B55-4D93-B8E2-3EF63788BB11}"/>
    <cellStyle name="Normal 3 2 3 2 9" xfId="8937" xr:uid="{BCA92813-BD20-407A-9FF0-155EA1704052}"/>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F9D35EB4-9578-4C79-9D37-3BC6069C2C5E}"/>
    <cellStyle name="Normal 3 2 3 3 2 2 3" xfId="11498" xr:uid="{56D26705-1F82-4D59-8C92-FCF056FE910A}"/>
    <cellStyle name="Normal 3 2 3 3 2 3" xfId="5129" xr:uid="{00000000-0005-0000-0000-0000AB110000}"/>
    <cellStyle name="Normal 3 2 3 3 2 3 2" xfId="13571" xr:uid="{E55555BE-210E-42E3-9219-CD0857CB8603}"/>
    <cellStyle name="Normal 3 2 3 3 2 4" xfId="9353" xr:uid="{90211AE6-DC2E-427A-AF18-1A113D931CB4}"/>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53F5A100-9012-4B84-A17E-7CC37AC9DA21}"/>
    <cellStyle name="Normal 3 2 3 3 3 2 3" xfId="11911" xr:uid="{3BC14C3F-1291-48F2-B899-BB3C5119A490}"/>
    <cellStyle name="Normal 3 2 3 3 3 3" xfId="5542" xr:uid="{00000000-0005-0000-0000-0000AF110000}"/>
    <cellStyle name="Normal 3 2 3 3 3 3 2" xfId="13984" xr:uid="{A5F5F71A-5C1A-4CF5-8686-E30514BFE615}"/>
    <cellStyle name="Normal 3 2 3 3 3 4" xfId="9766" xr:uid="{F6C03E35-BD53-4C0E-8F85-BDCF913099A2}"/>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C0D279A8-0CAF-4DBA-BFFD-80C7C131DDD5}"/>
    <cellStyle name="Normal 3 2 3 3 4 2 3" xfId="12324" xr:uid="{BF1CDB3A-2466-4038-B667-8303E22C4C21}"/>
    <cellStyle name="Normal 3 2 3 3 4 3" xfId="5955" xr:uid="{00000000-0005-0000-0000-0000B3110000}"/>
    <cellStyle name="Normal 3 2 3 3 4 3 2" xfId="14397" xr:uid="{E59340E6-E89B-422C-9653-AC218F9F5C36}"/>
    <cellStyle name="Normal 3 2 3 3 4 4" xfId="10179" xr:uid="{DC03DE7C-EB64-4392-9076-72A389B9D31C}"/>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0FB150E4-D80D-4581-8A00-FF45357BAAAC}"/>
    <cellStyle name="Normal 3 2 3 3 5 2 3" xfId="12737" xr:uid="{15975C5D-C6EE-4D49-A4A7-AD01A8023EE4}"/>
    <cellStyle name="Normal 3 2 3 3 5 3" xfId="6368" xr:uid="{00000000-0005-0000-0000-0000B7110000}"/>
    <cellStyle name="Normal 3 2 3 3 5 3 2" xfId="14810" xr:uid="{2E5EAA4A-8EFC-4CCC-A292-A94EA4BB9473}"/>
    <cellStyle name="Normal 3 2 3 3 5 4" xfId="10592" xr:uid="{8B24F197-8A8D-4A9F-AA0A-EF55A57EB340}"/>
    <cellStyle name="Normal 3 2 3 3 6" xfId="2497" xr:uid="{00000000-0005-0000-0000-0000B8110000}"/>
    <cellStyle name="Normal 3 2 3 3 6 2" xfId="6781" xr:uid="{00000000-0005-0000-0000-0000B9110000}"/>
    <cellStyle name="Normal 3 2 3 3 6 2 2" xfId="15223" xr:uid="{5354B00A-2D4D-4BC1-8268-8894A752ED1F}"/>
    <cellStyle name="Normal 3 2 3 3 6 3" xfId="11005" xr:uid="{B9F92028-5603-464F-B740-9B43820FD587}"/>
    <cellStyle name="Normal 3 2 3 3 7" xfId="4715" xr:uid="{00000000-0005-0000-0000-0000BA110000}"/>
    <cellStyle name="Normal 3 2 3 3 7 2" xfId="13157" xr:uid="{7C9CB499-CE77-4AE0-9829-98D995985663}"/>
    <cellStyle name="Normal 3 2 3 3 8" xfId="8939" xr:uid="{94BBEFA8-3C2E-4C51-89CA-D6F45338A5A8}"/>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43EE8495-7361-4DBB-B6FC-5EF46687A49E}"/>
    <cellStyle name="Normal 3 2 3 4 2 3" xfId="11495" xr:uid="{A2CBE732-E6A6-4901-A001-4B23C711B34D}"/>
    <cellStyle name="Normal 3 2 3 4 3" xfId="5126" xr:uid="{00000000-0005-0000-0000-0000BE110000}"/>
    <cellStyle name="Normal 3 2 3 4 3 2" xfId="13568" xr:uid="{110CEBBC-F14E-4D0E-A81C-B38EBFD31038}"/>
    <cellStyle name="Normal 3 2 3 4 4" xfId="9350" xr:uid="{27EAA427-CF5B-4FD2-A401-2B34880F91C2}"/>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FB922032-1692-4D02-AA2C-4B347430DF7E}"/>
    <cellStyle name="Normal 3 2 3 5 2 3" xfId="11908" xr:uid="{E7EF8D2B-9117-4BED-A2E5-4E8CC11EC13D}"/>
    <cellStyle name="Normal 3 2 3 5 3" xfId="5539" xr:uid="{00000000-0005-0000-0000-0000C2110000}"/>
    <cellStyle name="Normal 3 2 3 5 3 2" xfId="13981" xr:uid="{7EEB89A4-0A78-4FF5-91B0-18F5AC963493}"/>
    <cellStyle name="Normal 3 2 3 5 4" xfId="9763" xr:uid="{182AD664-F588-4C9B-A088-2BE6046140F3}"/>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A1CA20C5-4299-4577-A489-A01F8AF6E409}"/>
    <cellStyle name="Normal 3 2 3 6 2 3" xfId="12321" xr:uid="{DE3A908C-6C28-4941-87A9-AB46E07356D1}"/>
    <cellStyle name="Normal 3 2 3 6 3" xfId="5952" xr:uid="{00000000-0005-0000-0000-0000C6110000}"/>
    <cellStyle name="Normal 3 2 3 6 3 2" xfId="14394" xr:uid="{F94B8122-34B7-40B4-B935-5507492F0AA2}"/>
    <cellStyle name="Normal 3 2 3 6 4" xfId="10176" xr:uid="{406D2FD0-DE6A-444B-B6A1-404E10364B9F}"/>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F8DAB2FA-3FAF-4209-BCC8-AD879CEA36E5}"/>
    <cellStyle name="Normal 3 2 3 7 2 3" xfId="12734" xr:uid="{0CE8F23D-813D-49A6-93EF-F4CC313843C3}"/>
    <cellStyle name="Normal 3 2 3 7 3" xfId="6365" xr:uid="{00000000-0005-0000-0000-0000CA110000}"/>
    <cellStyle name="Normal 3 2 3 7 3 2" xfId="14807" xr:uid="{24C9312C-CC43-4825-9925-ED95FDC7FE13}"/>
    <cellStyle name="Normal 3 2 3 7 4" xfId="10589" xr:uid="{769A02B6-0DA4-4A8F-9E25-7EE9514005FA}"/>
    <cellStyle name="Normal 3 2 3 8" xfId="2494" xr:uid="{00000000-0005-0000-0000-0000CB110000}"/>
    <cellStyle name="Normal 3 2 3 8 2" xfId="6778" xr:uid="{00000000-0005-0000-0000-0000CC110000}"/>
    <cellStyle name="Normal 3 2 3 8 2 2" xfId="15220" xr:uid="{1AA6268E-E8DC-4DF6-B354-DA878039548C}"/>
    <cellStyle name="Normal 3 2 3 8 3" xfId="11002" xr:uid="{97D80A21-6C0E-4B57-A43B-D7F70B143464}"/>
    <cellStyle name="Normal 3 2 3 9" xfId="4712" xr:uid="{00000000-0005-0000-0000-0000CD110000}"/>
    <cellStyle name="Normal 3 2 3 9 2" xfId="13154" xr:uid="{6FFCFE3F-C1CB-4D23-BD0B-1C715B9084FB}"/>
    <cellStyle name="Normal 3 2 4" xfId="809" xr:uid="{00000000-0005-0000-0000-0000CE110000}"/>
    <cellStyle name="Normal 3 2 4 2" xfId="3047" xr:uid="{00000000-0005-0000-0000-0000CF110000}"/>
    <cellStyle name="Normal 3 2 4 2 2" xfId="7270" xr:uid="{00000000-0005-0000-0000-0000D0110000}"/>
    <cellStyle name="Normal 3 2 4 2 2 2" xfId="15712" xr:uid="{E07B4D4F-F99C-4546-9E77-FE19B2A56F2E}"/>
    <cellStyle name="Normal 3 2 4 2 3" xfId="11494" xr:uid="{D2DA919B-E9BC-4F2E-920A-6677B54F99A9}"/>
    <cellStyle name="Normal 3 2 4 3" xfId="5125" xr:uid="{00000000-0005-0000-0000-0000D1110000}"/>
    <cellStyle name="Normal 3 2 4 3 2" xfId="13567" xr:uid="{7D5E1F17-DA07-4742-9B38-8B5ED9E223B5}"/>
    <cellStyle name="Normal 3 2 4 4" xfId="9349" xr:uid="{89FD089A-10A3-47D1-B484-11A98335791D}"/>
    <cellStyle name="Normal 3 2 5" xfId="1230" xr:uid="{00000000-0005-0000-0000-0000D2110000}"/>
    <cellStyle name="Normal 3 2 5 2" xfId="3460" xr:uid="{00000000-0005-0000-0000-0000D3110000}"/>
    <cellStyle name="Normal 3 2 5 2 2" xfId="7683" xr:uid="{00000000-0005-0000-0000-0000D4110000}"/>
    <cellStyle name="Normal 3 2 5 2 2 2" xfId="16125" xr:uid="{42831996-661B-4F77-816D-014131C60054}"/>
    <cellStyle name="Normal 3 2 5 2 3" xfId="11907" xr:uid="{1EF91018-841B-44A4-B74C-99FE54AE7AFE}"/>
    <cellStyle name="Normal 3 2 5 3" xfId="5538" xr:uid="{00000000-0005-0000-0000-0000D5110000}"/>
    <cellStyle name="Normal 3 2 5 3 2" xfId="13980" xr:uid="{A22F1095-E748-4ADA-8B03-5A8C96DCA4A5}"/>
    <cellStyle name="Normal 3 2 5 4" xfId="9762" xr:uid="{9AB744DA-578A-4E80-8212-B785904A76D5}"/>
    <cellStyle name="Normal 3 2 6" xfId="1643" xr:uid="{00000000-0005-0000-0000-0000D6110000}"/>
    <cellStyle name="Normal 3 2 6 2" xfId="3873" xr:uid="{00000000-0005-0000-0000-0000D7110000}"/>
    <cellStyle name="Normal 3 2 6 2 2" xfId="8096" xr:uid="{00000000-0005-0000-0000-0000D8110000}"/>
    <cellStyle name="Normal 3 2 6 2 2 2" xfId="16538" xr:uid="{79E6D52B-5DEE-479D-BDB5-50B027BF0F37}"/>
    <cellStyle name="Normal 3 2 6 2 3" xfId="12320" xr:uid="{C72A036B-009E-4D5C-B608-5746DC41ECD5}"/>
    <cellStyle name="Normal 3 2 6 3" xfId="5951" xr:uid="{00000000-0005-0000-0000-0000D9110000}"/>
    <cellStyle name="Normal 3 2 6 3 2" xfId="14393" xr:uid="{1AB03836-B7DC-4325-998F-559E8FBDA79A}"/>
    <cellStyle name="Normal 3 2 6 4" xfId="10175" xr:uid="{DDE84510-F612-44EE-AB45-D1386DDAFF71}"/>
    <cellStyle name="Normal 3 2 7" xfId="2057" xr:uid="{00000000-0005-0000-0000-0000DA110000}"/>
    <cellStyle name="Normal 3 2 7 2" xfId="4286" xr:uid="{00000000-0005-0000-0000-0000DB110000}"/>
    <cellStyle name="Normal 3 2 7 2 2" xfId="8509" xr:uid="{00000000-0005-0000-0000-0000DC110000}"/>
    <cellStyle name="Normal 3 2 7 2 2 2" xfId="16951" xr:uid="{9A701BFB-E1C1-4770-8751-03E374346F1F}"/>
    <cellStyle name="Normal 3 2 7 2 3" xfId="12733" xr:uid="{37A8EB8F-80DC-4DAE-ADEE-587D8B677237}"/>
    <cellStyle name="Normal 3 2 7 3" xfId="6364" xr:uid="{00000000-0005-0000-0000-0000DD110000}"/>
    <cellStyle name="Normal 3 2 7 3 2" xfId="14806" xr:uid="{BFD6044B-2A0D-4489-98BF-D895AFA20B0C}"/>
    <cellStyle name="Normal 3 2 7 4" xfId="10588" xr:uid="{362C1F13-88CB-4503-B0B2-5039E747F958}"/>
    <cellStyle name="Normal 3 2 8" xfId="2493" xr:uid="{00000000-0005-0000-0000-0000DE110000}"/>
    <cellStyle name="Normal 3 2 8 2" xfId="6777" xr:uid="{00000000-0005-0000-0000-0000DF110000}"/>
    <cellStyle name="Normal 3 2 8 2 2" xfId="15219" xr:uid="{38E3FA90-352D-4B7D-BE9A-8A30F8397B0B}"/>
    <cellStyle name="Normal 3 2 8 3" xfId="11001" xr:uid="{30487BE5-F8B7-4077-AC8B-AE1DDA5ECA07}"/>
    <cellStyle name="Normal 3 2 9" xfId="4711" xr:uid="{00000000-0005-0000-0000-0000E0110000}"/>
    <cellStyle name="Normal 3 2 9 2" xfId="13153" xr:uid="{E540F699-B077-4CDD-84D6-728DA96B2EC2}"/>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C2782845-7871-4AA6-B331-84BB2A82765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CEEC2897-ADA7-4C1F-8795-1A1F832075D8}"/>
    <cellStyle name="Normal 4 2 2 10 2 3" xfId="12738" xr:uid="{ABAA47A1-04F8-497E-8502-ED804BC63728}"/>
    <cellStyle name="Normal 4 2 2 10 3" xfId="6369" xr:uid="{00000000-0005-0000-0000-0000ED110000}"/>
    <cellStyle name="Normal 4 2 2 10 3 2" xfId="14811" xr:uid="{70320F56-A7D2-42A2-9E78-B915805E4678}"/>
    <cellStyle name="Normal 4 2 2 10 4" xfId="10593" xr:uid="{F3F776D3-FA61-41A5-A963-91534CE83BBF}"/>
    <cellStyle name="Normal 4 2 2 11" xfId="2498" xr:uid="{00000000-0005-0000-0000-0000EE110000}"/>
    <cellStyle name="Normal 4 2 2 11 2" xfId="6782" xr:uid="{00000000-0005-0000-0000-0000EF110000}"/>
    <cellStyle name="Normal 4 2 2 11 2 2" xfId="15224" xr:uid="{C2D6D19A-DAD4-47AA-8437-9424F2C1A267}"/>
    <cellStyle name="Normal 4 2 2 11 3" xfId="11006" xr:uid="{AE12074E-1921-49B9-84A0-F76C4611E074}"/>
    <cellStyle name="Normal 4 2 2 12" xfId="4717" xr:uid="{00000000-0005-0000-0000-0000F0110000}"/>
    <cellStyle name="Normal 4 2 2 12 2" xfId="13159" xr:uid="{8A33E0A7-F178-403E-A5E7-F9F90A6E5CE3}"/>
    <cellStyle name="Normal 4 2 2 13" xfId="8941" xr:uid="{969F89A0-9E2A-41EB-B0CA-38CFB69486ED}"/>
    <cellStyle name="Normal 4 2 2 2" xfId="338" xr:uid="{00000000-0005-0000-0000-0000F1110000}"/>
    <cellStyle name="Normal 4 2 2 3" xfId="339" xr:uid="{00000000-0005-0000-0000-0000F2110000}"/>
    <cellStyle name="Normal 4 2 2 3 10" xfId="4718" xr:uid="{00000000-0005-0000-0000-0000F3110000}"/>
    <cellStyle name="Normal 4 2 2 3 10 2" xfId="13160" xr:uid="{E7E2ECB6-5150-4661-9E63-B7BD4A5FC910}"/>
    <cellStyle name="Normal 4 2 2 3 11" xfId="8942" xr:uid="{23E63E67-CF9B-4DE9-95E0-F305E29D43B8}"/>
    <cellStyle name="Normal 4 2 2 3 2" xfId="340" xr:uid="{00000000-0005-0000-0000-0000F4110000}"/>
    <cellStyle name="Normal 4 2 2 3 2 10" xfId="8943" xr:uid="{6EB613A9-5EE9-4A76-8B9B-F5350A66576F}"/>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54F7DE67-62C6-464B-90DD-1A40C369EB14}"/>
    <cellStyle name="Normal 4 2 2 3 2 2 2 2 2 3" xfId="11503" xr:uid="{B482D961-4D09-4213-875B-E9E8F9AE8D9D}"/>
    <cellStyle name="Normal 4 2 2 3 2 2 2 2 3" xfId="5134" xr:uid="{00000000-0005-0000-0000-0000FA110000}"/>
    <cellStyle name="Normal 4 2 2 3 2 2 2 2 3 2" xfId="13576" xr:uid="{DA590B8E-F7B8-4739-A72C-F05DE948FE9E}"/>
    <cellStyle name="Normal 4 2 2 3 2 2 2 2 4" xfId="9358" xr:uid="{6E544E50-964C-4780-8FFA-1E87EB32539E}"/>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7F86ECCF-9475-4717-ADF0-3E15D85493A0}"/>
    <cellStyle name="Normal 4 2 2 3 2 2 2 3 2 3" xfId="11916" xr:uid="{3A7D638A-17B2-4447-8E15-5A55EF5E793F}"/>
    <cellStyle name="Normal 4 2 2 3 2 2 2 3 3" xfId="5547" xr:uid="{00000000-0005-0000-0000-0000FE110000}"/>
    <cellStyle name="Normal 4 2 2 3 2 2 2 3 3 2" xfId="13989" xr:uid="{C402611C-7407-4C7B-AB9F-235D6C6F6EFB}"/>
    <cellStyle name="Normal 4 2 2 3 2 2 2 3 4" xfId="9771" xr:uid="{4823FEED-31AB-466C-9E07-91005E71C065}"/>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CCB66987-DD83-449C-898F-0EE0F90A0F78}"/>
    <cellStyle name="Normal 4 2 2 3 2 2 2 4 2 3" xfId="12329" xr:uid="{BE45F93C-1DCE-480E-9B9B-D466B65013A7}"/>
    <cellStyle name="Normal 4 2 2 3 2 2 2 4 3" xfId="5960" xr:uid="{00000000-0005-0000-0000-000002120000}"/>
    <cellStyle name="Normal 4 2 2 3 2 2 2 4 3 2" xfId="14402" xr:uid="{A344F6BE-15BA-4CBC-83E2-DC9FA637B0F2}"/>
    <cellStyle name="Normal 4 2 2 3 2 2 2 4 4" xfId="10184" xr:uid="{EBAE2F39-1D07-491A-A4E4-FCA8E21B47F4}"/>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8D9885F0-680F-4EEC-8915-8E1A723178B5}"/>
    <cellStyle name="Normal 4 2 2 3 2 2 2 5 2 3" xfId="12742" xr:uid="{02E0D521-0095-41BD-82D8-B011C4FD8C40}"/>
    <cellStyle name="Normal 4 2 2 3 2 2 2 5 3" xfId="6373" xr:uid="{00000000-0005-0000-0000-000006120000}"/>
    <cellStyle name="Normal 4 2 2 3 2 2 2 5 3 2" xfId="14815" xr:uid="{91BC4795-ED25-4001-9CBE-220027B23047}"/>
    <cellStyle name="Normal 4 2 2 3 2 2 2 5 4" xfId="10597" xr:uid="{88AB5B74-CA9D-40E8-A04B-6CE0EB66AEC7}"/>
    <cellStyle name="Normal 4 2 2 3 2 2 2 6" xfId="2502" xr:uid="{00000000-0005-0000-0000-000007120000}"/>
    <cellStyle name="Normal 4 2 2 3 2 2 2 6 2" xfId="6786" xr:uid="{00000000-0005-0000-0000-000008120000}"/>
    <cellStyle name="Normal 4 2 2 3 2 2 2 6 2 2" xfId="15228" xr:uid="{4871059B-5C8A-4DC7-9C9D-DDD2E3A1A25D}"/>
    <cellStyle name="Normal 4 2 2 3 2 2 2 6 3" xfId="11010" xr:uid="{CAFC5592-B1CD-4B2D-B064-07808A2B3841}"/>
    <cellStyle name="Normal 4 2 2 3 2 2 2 7" xfId="4721" xr:uid="{00000000-0005-0000-0000-000009120000}"/>
    <cellStyle name="Normal 4 2 2 3 2 2 2 7 2" xfId="13163" xr:uid="{CF68FB58-0E0C-4473-BB94-FA8A76F115F4}"/>
    <cellStyle name="Normal 4 2 2 3 2 2 2 8" xfId="8945" xr:uid="{4AF7C6DD-45FF-40B0-AA13-8DB7AAFCB9CF}"/>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EC8B0DAF-01B2-4357-A0EF-2DA460F11F55}"/>
    <cellStyle name="Normal 4 2 2 3 2 2 3 2 3" xfId="11502" xr:uid="{6E76BC8D-2576-4229-9D9E-71083A0ED68D}"/>
    <cellStyle name="Normal 4 2 2 3 2 2 3 3" xfId="5133" xr:uid="{00000000-0005-0000-0000-00000D120000}"/>
    <cellStyle name="Normal 4 2 2 3 2 2 3 3 2" xfId="13575" xr:uid="{396E396F-0324-44D2-B403-CC1EA6DE9B65}"/>
    <cellStyle name="Normal 4 2 2 3 2 2 3 4" xfId="9357" xr:uid="{347930A6-C9EA-46E1-B4D3-0368C1671887}"/>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9A532A90-BB9F-4ADA-BADF-A5B3E4849B9F}"/>
    <cellStyle name="Normal 4 2 2 3 2 2 4 2 3" xfId="11915" xr:uid="{DED5118D-CF75-416E-8A7E-73F3F9BFA659}"/>
    <cellStyle name="Normal 4 2 2 3 2 2 4 3" xfId="5546" xr:uid="{00000000-0005-0000-0000-000011120000}"/>
    <cellStyle name="Normal 4 2 2 3 2 2 4 3 2" xfId="13988" xr:uid="{255A8C82-9686-4880-A90F-D8912BDD9B4B}"/>
    <cellStyle name="Normal 4 2 2 3 2 2 4 4" xfId="9770" xr:uid="{BEAD7148-C7C2-4DF4-BFAC-8BDCB4702E7C}"/>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578C7299-7AD2-4C55-A9B2-A659E0FA7E3D}"/>
    <cellStyle name="Normal 4 2 2 3 2 2 5 2 3" xfId="12328" xr:uid="{220C65A0-36C7-41A4-B529-CC668CE46C71}"/>
    <cellStyle name="Normal 4 2 2 3 2 2 5 3" xfId="5959" xr:uid="{00000000-0005-0000-0000-000015120000}"/>
    <cellStyle name="Normal 4 2 2 3 2 2 5 3 2" xfId="14401" xr:uid="{263A991D-AA2C-479A-B429-5D1EF4850E83}"/>
    <cellStyle name="Normal 4 2 2 3 2 2 5 4" xfId="10183" xr:uid="{7B542109-016D-42BA-96AA-4A1020C3F562}"/>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C385E99C-78FB-4FEC-B4DD-EE5868677991}"/>
    <cellStyle name="Normal 4 2 2 3 2 2 6 2 3" xfId="12741" xr:uid="{C0924AF8-E516-4417-A9DF-D2FBED0A3337}"/>
    <cellStyle name="Normal 4 2 2 3 2 2 6 3" xfId="6372" xr:uid="{00000000-0005-0000-0000-000019120000}"/>
    <cellStyle name="Normal 4 2 2 3 2 2 6 3 2" xfId="14814" xr:uid="{2C661EBD-A585-4D56-95E4-D4650E68EB94}"/>
    <cellStyle name="Normal 4 2 2 3 2 2 6 4" xfId="10596" xr:uid="{8CE7887A-1602-466E-B6C1-02DEA77AF340}"/>
    <cellStyle name="Normal 4 2 2 3 2 2 7" xfId="2501" xr:uid="{00000000-0005-0000-0000-00001A120000}"/>
    <cellStyle name="Normal 4 2 2 3 2 2 7 2" xfId="6785" xr:uid="{00000000-0005-0000-0000-00001B120000}"/>
    <cellStyle name="Normal 4 2 2 3 2 2 7 2 2" xfId="15227" xr:uid="{E0483948-AA16-435E-9638-87E900982796}"/>
    <cellStyle name="Normal 4 2 2 3 2 2 7 3" xfId="11009" xr:uid="{D57405E9-BCDE-4E70-8AD9-A35F31AA7F3E}"/>
    <cellStyle name="Normal 4 2 2 3 2 2 8" xfId="4720" xr:uid="{00000000-0005-0000-0000-00001C120000}"/>
    <cellStyle name="Normal 4 2 2 3 2 2 8 2" xfId="13162" xr:uid="{103DAE0B-C2C8-44A9-8B70-1CDDE392D89D}"/>
    <cellStyle name="Normal 4 2 2 3 2 2 9" xfId="8944" xr:uid="{A9DFEE27-4B49-4D05-A286-EFED4E74F977}"/>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EB217F52-4CE3-4257-AC67-F9E07EAF4D78}"/>
    <cellStyle name="Normal 4 2 2 3 2 3 2 2 3" xfId="11504" xr:uid="{37FF1767-E467-4F6E-A01B-943A10513129}"/>
    <cellStyle name="Normal 4 2 2 3 2 3 2 3" xfId="5135" xr:uid="{00000000-0005-0000-0000-000021120000}"/>
    <cellStyle name="Normal 4 2 2 3 2 3 2 3 2" xfId="13577" xr:uid="{A1FF3618-4EFB-42A7-B193-A2BFFBAD3F1B}"/>
    <cellStyle name="Normal 4 2 2 3 2 3 2 4" xfId="9359" xr:uid="{E87B7A3E-ACEA-4624-B71F-65E191301531}"/>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427B66CF-B5FF-498E-B36B-7503EC9C03A4}"/>
    <cellStyle name="Normal 4 2 2 3 2 3 3 2 3" xfId="11917" xr:uid="{E344472B-43CA-4747-86F9-70064A528E35}"/>
    <cellStyle name="Normal 4 2 2 3 2 3 3 3" xfId="5548" xr:uid="{00000000-0005-0000-0000-000025120000}"/>
    <cellStyle name="Normal 4 2 2 3 2 3 3 3 2" xfId="13990" xr:uid="{4DA8BDEF-4097-4E1A-9373-DBDD8AF862FA}"/>
    <cellStyle name="Normal 4 2 2 3 2 3 3 4" xfId="9772" xr:uid="{7B320C42-DEDB-4C2B-87F5-34651FBC0ADF}"/>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4B25F5EE-0D37-4CC0-96DE-C97C2CC0D315}"/>
    <cellStyle name="Normal 4 2 2 3 2 3 4 2 3" xfId="12330" xr:uid="{AE16CBDA-959D-4AE5-A91C-9AE518954BE9}"/>
    <cellStyle name="Normal 4 2 2 3 2 3 4 3" xfId="5961" xr:uid="{00000000-0005-0000-0000-000029120000}"/>
    <cellStyle name="Normal 4 2 2 3 2 3 4 3 2" xfId="14403" xr:uid="{0E71A7F2-3450-4684-8148-93B056FE9DEF}"/>
    <cellStyle name="Normal 4 2 2 3 2 3 4 4" xfId="10185" xr:uid="{C523C0B2-F031-4B73-81EC-BB65ACC0E7E1}"/>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A30FFD71-64C3-4020-B0F4-EFEFF64D885D}"/>
    <cellStyle name="Normal 4 2 2 3 2 3 5 2 3" xfId="12743" xr:uid="{9D07531A-BAF7-4D4B-8512-2F60BB4654CA}"/>
    <cellStyle name="Normal 4 2 2 3 2 3 5 3" xfId="6374" xr:uid="{00000000-0005-0000-0000-00002D120000}"/>
    <cellStyle name="Normal 4 2 2 3 2 3 5 3 2" xfId="14816" xr:uid="{C646B405-AB20-4B2D-8308-B85DCCCA1043}"/>
    <cellStyle name="Normal 4 2 2 3 2 3 5 4" xfId="10598" xr:uid="{A8137F0B-DADD-4A9C-AE42-9BD172C9C93C}"/>
    <cellStyle name="Normal 4 2 2 3 2 3 6" xfId="2503" xr:uid="{00000000-0005-0000-0000-00002E120000}"/>
    <cellStyle name="Normal 4 2 2 3 2 3 6 2" xfId="6787" xr:uid="{00000000-0005-0000-0000-00002F120000}"/>
    <cellStyle name="Normal 4 2 2 3 2 3 6 2 2" xfId="15229" xr:uid="{77575851-4CED-4561-8C76-811BDB493B44}"/>
    <cellStyle name="Normal 4 2 2 3 2 3 6 3" xfId="11011" xr:uid="{35F3AACE-D9A6-454B-9331-2F754F31CFF8}"/>
    <cellStyle name="Normal 4 2 2 3 2 3 7" xfId="4722" xr:uid="{00000000-0005-0000-0000-000030120000}"/>
    <cellStyle name="Normal 4 2 2 3 2 3 7 2" xfId="13164" xr:uid="{8BC2BD03-4CAF-45A9-BE6D-1537C43B1E64}"/>
    <cellStyle name="Normal 4 2 2 3 2 3 8" xfId="8946" xr:uid="{E382002D-E720-4C16-943A-7CF99B78C3FF}"/>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4C733B49-73B6-4E94-ACCD-205911A33B21}"/>
    <cellStyle name="Normal 4 2 2 3 2 4 2 3" xfId="11501" xr:uid="{FEE6F071-C785-4B1D-97D3-46F46F03400A}"/>
    <cellStyle name="Normal 4 2 2 3 2 4 3" xfId="5132" xr:uid="{00000000-0005-0000-0000-000034120000}"/>
    <cellStyle name="Normal 4 2 2 3 2 4 3 2" xfId="13574" xr:uid="{ADCAF711-57DF-412B-9995-F1557B77A97E}"/>
    <cellStyle name="Normal 4 2 2 3 2 4 4" xfId="9356" xr:uid="{486B810B-8570-408B-9FA0-C71DB53495C8}"/>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2D18B98D-A53F-483E-8641-DF855A851F20}"/>
    <cellStyle name="Normal 4 2 2 3 2 5 2 3" xfId="11914" xr:uid="{C6D26DC8-7D3C-44A0-981D-709C9C3E4312}"/>
    <cellStyle name="Normal 4 2 2 3 2 5 3" xfId="5545" xr:uid="{00000000-0005-0000-0000-000038120000}"/>
    <cellStyle name="Normal 4 2 2 3 2 5 3 2" xfId="13987" xr:uid="{BCED055F-62D0-4D5D-8E59-162B460BA784}"/>
    <cellStyle name="Normal 4 2 2 3 2 5 4" xfId="9769" xr:uid="{F73B9E87-52BA-479B-BEE1-A9F2E6178BA3}"/>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E26BBC9A-13EB-4594-899C-D2E4194D0FE6}"/>
    <cellStyle name="Normal 4 2 2 3 2 6 2 3" xfId="12327" xr:uid="{E8593272-DEE3-4A57-B91F-BECC0BF19688}"/>
    <cellStyle name="Normal 4 2 2 3 2 6 3" xfId="5958" xr:uid="{00000000-0005-0000-0000-00003C120000}"/>
    <cellStyle name="Normal 4 2 2 3 2 6 3 2" xfId="14400" xr:uid="{B1E0E4A0-1CE3-4621-B65F-2C46688D8078}"/>
    <cellStyle name="Normal 4 2 2 3 2 6 4" xfId="10182" xr:uid="{474C4931-AAFA-4308-948D-5E656049567C}"/>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0DE94B16-D295-4204-A677-4BE2614BB3C6}"/>
    <cellStyle name="Normal 4 2 2 3 2 7 2 3" xfId="12740" xr:uid="{A68DADFE-92CB-431D-85C0-E94DBD3B50C1}"/>
    <cellStyle name="Normal 4 2 2 3 2 7 3" xfId="6371" xr:uid="{00000000-0005-0000-0000-000040120000}"/>
    <cellStyle name="Normal 4 2 2 3 2 7 3 2" xfId="14813" xr:uid="{CBBD86CE-6D73-4FE1-B867-8FEEE44C5F40}"/>
    <cellStyle name="Normal 4 2 2 3 2 7 4" xfId="10595" xr:uid="{4DE68E04-3260-4542-8D1D-FF759EBE7D1A}"/>
    <cellStyle name="Normal 4 2 2 3 2 8" xfId="2500" xr:uid="{00000000-0005-0000-0000-000041120000}"/>
    <cellStyle name="Normal 4 2 2 3 2 8 2" xfId="6784" xr:uid="{00000000-0005-0000-0000-000042120000}"/>
    <cellStyle name="Normal 4 2 2 3 2 8 2 2" xfId="15226" xr:uid="{4D3C54FD-E31A-4A1C-80EE-852C6E076F6D}"/>
    <cellStyle name="Normal 4 2 2 3 2 8 3" xfId="11008" xr:uid="{5A4A9C04-FA9D-4022-BF91-14762674FD3A}"/>
    <cellStyle name="Normal 4 2 2 3 2 9" xfId="4719" xr:uid="{00000000-0005-0000-0000-000043120000}"/>
    <cellStyle name="Normal 4 2 2 3 2 9 2" xfId="13161" xr:uid="{82E12135-771C-47D2-9E37-B2795B4BAD5F}"/>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9D459E17-1BAF-4ECF-AAE3-D73B748F9363}"/>
    <cellStyle name="Normal 4 2 2 3 3 2 2 2 3" xfId="11506" xr:uid="{2C9FB2B6-0460-43A1-A6B4-4FFF7262F555}"/>
    <cellStyle name="Normal 4 2 2 3 3 2 2 3" xfId="5137" xr:uid="{00000000-0005-0000-0000-000049120000}"/>
    <cellStyle name="Normal 4 2 2 3 3 2 2 3 2" xfId="13579" xr:uid="{AF513BC9-6F5E-4D2F-BC91-E60F45944F9E}"/>
    <cellStyle name="Normal 4 2 2 3 3 2 2 4" xfId="9361" xr:uid="{614F9514-458B-43AC-AAC4-8BF9D14231B7}"/>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896E4F3F-E565-4A8C-9EC3-F3D8ED57682D}"/>
    <cellStyle name="Normal 4 2 2 3 3 2 3 2 3" xfId="11919" xr:uid="{5FE0D200-D555-4F8D-9625-5E24CC1AF113}"/>
    <cellStyle name="Normal 4 2 2 3 3 2 3 3" xfId="5550" xr:uid="{00000000-0005-0000-0000-00004D120000}"/>
    <cellStyle name="Normal 4 2 2 3 3 2 3 3 2" xfId="13992" xr:uid="{8A8F10BF-D29E-43F7-90BE-2A62B68FDEA8}"/>
    <cellStyle name="Normal 4 2 2 3 3 2 3 4" xfId="9774" xr:uid="{1BF3190D-7EA6-4C4C-A7B5-A7C150B25FA3}"/>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B9A3776A-D4C5-434D-9D08-634F63019B99}"/>
    <cellStyle name="Normal 4 2 2 3 3 2 4 2 3" xfId="12332" xr:uid="{F5A9F240-08D1-4473-8378-4A252F8A5F65}"/>
    <cellStyle name="Normal 4 2 2 3 3 2 4 3" xfId="5963" xr:uid="{00000000-0005-0000-0000-000051120000}"/>
    <cellStyle name="Normal 4 2 2 3 3 2 4 3 2" xfId="14405" xr:uid="{6323DE3E-9B86-4480-9449-26CE50C02E85}"/>
    <cellStyle name="Normal 4 2 2 3 3 2 4 4" xfId="10187" xr:uid="{F2EC270D-E5F6-495C-929C-562DBB26BCA7}"/>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07FB9407-2350-4BCD-A9DA-1FEE2A2D3394}"/>
    <cellStyle name="Normal 4 2 2 3 3 2 5 2 3" xfId="12745" xr:uid="{84047B10-47B4-45D3-8A0A-AC15A8F4226F}"/>
    <cellStyle name="Normal 4 2 2 3 3 2 5 3" xfId="6376" xr:uid="{00000000-0005-0000-0000-000055120000}"/>
    <cellStyle name="Normal 4 2 2 3 3 2 5 3 2" xfId="14818" xr:uid="{C63A986D-3109-4338-9AE4-61F770B0AA56}"/>
    <cellStyle name="Normal 4 2 2 3 3 2 5 4" xfId="10600" xr:uid="{C434E690-30B7-4BAA-8471-2CBC73260DD3}"/>
    <cellStyle name="Normal 4 2 2 3 3 2 6" xfId="2505" xr:uid="{00000000-0005-0000-0000-000056120000}"/>
    <cellStyle name="Normal 4 2 2 3 3 2 6 2" xfId="6789" xr:uid="{00000000-0005-0000-0000-000057120000}"/>
    <cellStyle name="Normal 4 2 2 3 3 2 6 2 2" xfId="15231" xr:uid="{D65B17B8-C606-40DF-A16C-A71226C1B732}"/>
    <cellStyle name="Normal 4 2 2 3 3 2 6 3" xfId="11013" xr:uid="{5D2C5F00-9CB1-404A-B0CE-28DCDF148884}"/>
    <cellStyle name="Normal 4 2 2 3 3 2 7" xfId="4724" xr:uid="{00000000-0005-0000-0000-000058120000}"/>
    <cellStyle name="Normal 4 2 2 3 3 2 7 2" xfId="13166" xr:uid="{50999D75-217E-4838-8D53-74B174479102}"/>
    <cellStyle name="Normal 4 2 2 3 3 2 8" xfId="8948" xr:uid="{58F76E29-672C-4113-845D-9524D750174E}"/>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9E602539-696A-4B00-AF2B-22F316603D80}"/>
    <cellStyle name="Normal 4 2 2 3 3 3 2 3" xfId="11505" xr:uid="{9351D223-7F38-4BD9-8741-21CDB08C1B83}"/>
    <cellStyle name="Normal 4 2 2 3 3 3 3" xfId="5136" xr:uid="{00000000-0005-0000-0000-00005C120000}"/>
    <cellStyle name="Normal 4 2 2 3 3 3 3 2" xfId="13578" xr:uid="{D579F382-4B66-4153-99E8-1FA85455866D}"/>
    <cellStyle name="Normal 4 2 2 3 3 3 4" xfId="9360" xr:uid="{3D08DD60-7BCD-439D-84A5-0D2CDEC789C9}"/>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73966135-3578-4048-9C72-327E121BBA9A}"/>
    <cellStyle name="Normal 4 2 2 3 3 4 2 3" xfId="11918" xr:uid="{3EF2354A-0F71-441D-A80A-CB865B64A44D}"/>
    <cellStyle name="Normal 4 2 2 3 3 4 3" xfId="5549" xr:uid="{00000000-0005-0000-0000-000060120000}"/>
    <cellStyle name="Normal 4 2 2 3 3 4 3 2" xfId="13991" xr:uid="{AD618C37-4041-4489-9074-942FB6833D70}"/>
    <cellStyle name="Normal 4 2 2 3 3 4 4" xfId="9773" xr:uid="{9CF96148-75FC-4ECA-BB82-93C069AD5B08}"/>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298F38DC-3593-40C8-880F-CA65E4E131B5}"/>
    <cellStyle name="Normal 4 2 2 3 3 5 2 3" xfId="12331" xr:uid="{8E5DE0F4-66CF-4862-9A5B-6627284176F6}"/>
    <cellStyle name="Normal 4 2 2 3 3 5 3" xfId="5962" xr:uid="{00000000-0005-0000-0000-000064120000}"/>
    <cellStyle name="Normal 4 2 2 3 3 5 3 2" xfId="14404" xr:uid="{9963B797-5C7A-4CD8-9E3A-554DAA372955}"/>
    <cellStyle name="Normal 4 2 2 3 3 5 4" xfId="10186" xr:uid="{2530A2C9-C8E8-45A5-8551-F33A875FF924}"/>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47DD170D-FE16-44B2-A054-07B1AE73BC33}"/>
    <cellStyle name="Normal 4 2 2 3 3 6 2 3" xfId="12744" xr:uid="{51B6EBFC-3F02-4789-ABB2-CC1DF57CFFEB}"/>
    <cellStyle name="Normal 4 2 2 3 3 6 3" xfId="6375" xr:uid="{00000000-0005-0000-0000-000068120000}"/>
    <cellStyle name="Normal 4 2 2 3 3 6 3 2" xfId="14817" xr:uid="{297C885E-D9CC-487D-A807-8AC502244EB2}"/>
    <cellStyle name="Normal 4 2 2 3 3 6 4" xfId="10599" xr:uid="{DDDEB159-62E1-416D-A84B-2AA8FE3CA921}"/>
    <cellStyle name="Normal 4 2 2 3 3 7" xfId="2504" xr:uid="{00000000-0005-0000-0000-000069120000}"/>
    <cellStyle name="Normal 4 2 2 3 3 7 2" xfId="6788" xr:uid="{00000000-0005-0000-0000-00006A120000}"/>
    <cellStyle name="Normal 4 2 2 3 3 7 2 2" xfId="15230" xr:uid="{05EFDDAA-E9B3-4CFE-B461-921C7D8600B3}"/>
    <cellStyle name="Normal 4 2 2 3 3 7 3" xfId="11012" xr:uid="{91D76D47-B925-4333-889E-3DE2AEEBE627}"/>
    <cellStyle name="Normal 4 2 2 3 3 8" xfId="4723" xr:uid="{00000000-0005-0000-0000-00006B120000}"/>
    <cellStyle name="Normal 4 2 2 3 3 8 2" xfId="13165" xr:uid="{777CD6EB-9E11-4AB3-9C83-4EE29149EB98}"/>
    <cellStyle name="Normal 4 2 2 3 3 9" xfId="8947" xr:uid="{0415F1A2-BD40-43B1-AB8E-5418216CF276}"/>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404E30DF-DECF-400F-8B28-4131DE20BFBF}"/>
    <cellStyle name="Normal 4 2 2 3 4 2 2 3" xfId="11507" xr:uid="{6B0E3789-EC51-467D-8437-76220918872B}"/>
    <cellStyle name="Normal 4 2 2 3 4 2 3" xfId="5138" xr:uid="{00000000-0005-0000-0000-000070120000}"/>
    <cellStyle name="Normal 4 2 2 3 4 2 3 2" xfId="13580" xr:uid="{D072FD46-FF6F-4539-8CAD-F1F8B2BDDE4E}"/>
    <cellStyle name="Normal 4 2 2 3 4 2 4" xfId="9362" xr:uid="{4D9BAA36-B65C-40D8-B302-6EB3B282AF8C}"/>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436EFA8F-08FA-4865-8A73-9AD2479F1A78}"/>
    <cellStyle name="Normal 4 2 2 3 4 3 2 3" xfId="11920" xr:uid="{8DE42541-ACE9-45FD-8A4F-169F8B8383F4}"/>
    <cellStyle name="Normal 4 2 2 3 4 3 3" xfId="5551" xr:uid="{00000000-0005-0000-0000-000074120000}"/>
    <cellStyle name="Normal 4 2 2 3 4 3 3 2" xfId="13993" xr:uid="{A00814A3-AFB0-42BB-9C7C-FE33849D528B}"/>
    <cellStyle name="Normal 4 2 2 3 4 3 4" xfId="9775" xr:uid="{67D1F623-CF7C-4264-BEA0-8D95257B6321}"/>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673716F3-FA68-4D40-B4B5-2EF025933166}"/>
    <cellStyle name="Normal 4 2 2 3 4 4 2 3" xfId="12333" xr:uid="{A8EA3130-4440-4031-9C5F-EBC9EA03B0F7}"/>
    <cellStyle name="Normal 4 2 2 3 4 4 3" xfId="5964" xr:uid="{00000000-0005-0000-0000-000078120000}"/>
    <cellStyle name="Normal 4 2 2 3 4 4 3 2" xfId="14406" xr:uid="{D563D86D-0E3C-458B-8952-A53CF29834FC}"/>
    <cellStyle name="Normal 4 2 2 3 4 4 4" xfId="10188" xr:uid="{84EA90F1-EDD4-4D4F-B0C7-7C4BB79520C9}"/>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DD00882B-81EB-4CDC-8D6E-F4E3BBE1B5B4}"/>
    <cellStyle name="Normal 4 2 2 3 4 5 2 3" xfId="12746" xr:uid="{4D94B55C-655D-4968-817B-72AD7679714B}"/>
    <cellStyle name="Normal 4 2 2 3 4 5 3" xfId="6377" xr:uid="{00000000-0005-0000-0000-00007C120000}"/>
    <cellStyle name="Normal 4 2 2 3 4 5 3 2" xfId="14819" xr:uid="{F6CC4240-8C8C-4FC7-81D9-64F0A5E95A93}"/>
    <cellStyle name="Normal 4 2 2 3 4 5 4" xfId="10601" xr:uid="{585C204E-9E2F-4071-8DAE-D73D79F8812C}"/>
    <cellStyle name="Normal 4 2 2 3 4 6" xfId="2506" xr:uid="{00000000-0005-0000-0000-00007D120000}"/>
    <cellStyle name="Normal 4 2 2 3 4 6 2" xfId="6790" xr:uid="{00000000-0005-0000-0000-00007E120000}"/>
    <cellStyle name="Normal 4 2 2 3 4 6 2 2" xfId="15232" xr:uid="{12C7BC00-7A6F-4C60-B0BA-36EC846B422A}"/>
    <cellStyle name="Normal 4 2 2 3 4 6 3" xfId="11014" xr:uid="{FF01AF0E-84A1-4B1E-BDD9-4A41544B9C07}"/>
    <cellStyle name="Normal 4 2 2 3 4 7" xfId="4725" xr:uid="{00000000-0005-0000-0000-00007F120000}"/>
    <cellStyle name="Normal 4 2 2 3 4 7 2" xfId="13167" xr:uid="{2ACCB3EB-85C5-403A-8795-11CA349F0EEC}"/>
    <cellStyle name="Normal 4 2 2 3 4 8" xfId="8949" xr:uid="{09D84316-8327-4ADE-AEE8-846BB5AACEDF}"/>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5BA3292C-5BC7-45E6-9260-9D0D7973F460}"/>
    <cellStyle name="Normal 4 2 2 3 5 2 3" xfId="11500" xr:uid="{BAEC9532-FC4F-4C05-8A1B-BFEE97197A14}"/>
    <cellStyle name="Normal 4 2 2 3 5 3" xfId="5131" xr:uid="{00000000-0005-0000-0000-000083120000}"/>
    <cellStyle name="Normal 4 2 2 3 5 3 2" xfId="13573" xr:uid="{06375EF6-B95D-4672-9C7B-B27315A37621}"/>
    <cellStyle name="Normal 4 2 2 3 5 4" xfId="9355" xr:uid="{7E974D33-4C8B-4187-B12C-DA3A8B5A673F}"/>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07CC7E0C-DFD9-4F17-A1A4-5D8803AC1103}"/>
    <cellStyle name="Normal 4 2 2 3 6 2 3" xfId="11913" xr:uid="{04CFC643-5886-488D-BE7F-951AF80963A0}"/>
    <cellStyle name="Normal 4 2 2 3 6 3" xfId="5544" xr:uid="{00000000-0005-0000-0000-000087120000}"/>
    <cellStyle name="Normal 4 2 2 3 6 3 2" xfId="13986" xr:uid="{56915F73-8D68-4D48-94E5-FDF16C9747DA}"/>
    <cellStyle name="Normal 4 2 2 3 6 4" xfId="9768" xr:uid="{FF20B769-8E6A-402B-92F8-4CD351E9E9B1}"/>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1A266F36-E7FE-4920-85A0-07107F3FD643}"/>
    <cellStyle name="Normal 4 2 2 3 7 2 3" xfId="12326" xr:uid="{33F5F001-3367-405A-B17E-720D766D4C62}"/>
    <cellStyle name="Normal 4 2 2 3 7 3" xfId="5957" xr:uid="{00000000-0005-0000-0000-00008B120000}"/>
    <cellStyle name="Normal 4 2 2 3 7 3 2" xfId="14399" xr:uid="{0D5D8B57-DF23-4CAB-A028-F1AE6AD08097}"/>
    <cellStyle name="Normal 4 2 2 3 7 4" xfId="10181" xr:uid="{CC0126AB-67A5-4C06-96E9-04466294EDFC}"/>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CA6FF80D-087E-4C91-A48D-E47361D37A39}"/>
    <cellStyle name="Normal 4 2 2 3 8 2 3" xfId="12739" xr:uid="{AE705392-262A-48F7-B59B-17B07D432A43}"/>
    <cellStyle name="Normal 4 2 2 3 8 3" xfId="6370" xr:uid="{00000000-0005-0000-0000-00008F120000}"/>
    <cellStyle name="Normal 4 2 2 3 8 3 2" xfId="14812" xr:uid="{406072DE-6101-4159-8586-31C64BFA018A}"/>
    <cellStyle name="Normal 4 2 2 3 8 4" xfId="10594" xr:uid="{1225F03A-596E-4D6D-B37D-D4924313F6EF}"/>
    <cellStyle name="Normal 4 2 2 3 9" xfId="2499" xr:uid="{00000000-0005-0000-0000-000090120000}"/>
    <cellStyle name="Normal 4 2 2 3 9 2" xfId="6783" xr:uid="{00000000-0005-0000-0000-000091120000}"/>
    <cellStyle name="Normal 4 2 2 3 9 2 2" xfId="15225" xr:uid="{98919978-FAC9-4401-B8B3-AC1F3EEEA8FF}"/>
    <cellStyle name="Normal 4 2 2 3 9 3" xfId="11007" xr:uid="{BA56BDF3-CDF7-4C38-B8A2-347D5121B1BA}"/>
    <cellStyle name="Normal 4 2 2 4" xfId="347" xr:uid="{00000000-0005-0000-0000-000092120000}"/>
    <cellStyle name="Normal 4 2 2 4 10" xfId="8950" xr:uid="{BE606C42-8792-4C84-BBD6-CCDB07B3C2C6}"/>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9422A6CA-E22D-498D-B5D8-471393D3154F}"/>
    <cellStyle name="Normal 4 2 2 4 2 2 2 2 3" xfId="11510" xr:uid="{D731A2B6-65FF-4047-914F-83BAE36858CC}"/>
    <cellStyle name="Normal 4 2 2 4 2 2 2 3" xfId="5141" xr:uid="{00000000-0005-0000-0000-000098120000}"/>
    <cellStyle name="Normal 4 2 2 4 2 2 2 3 2" xfId="13583" xr:uid="{A2DCA402-70C3-4B25-8AA6-37D648A3A3BE}"/>
    <cellStyle name="Normal 4 2 2 4 2 2 2 4" xfId="9365" xr:uid="{05683D8D-3410-4384-BDD3-6ED750A1DC9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0A9DDC77-12FC-48B1-A700-B8E1BEECF62B}"/>
    <cellStyle name="Normal 4 2 2 4 2 2 3 2 3" xfId="11923" xr:uid="{AA7AF75C-60E2-4924-B45C-7FCA087B5BF0}"/>
    <cellStyle name="Normal 4 2 2 4 2 2 3 3" xfId="5554" xr:uid="{00000000-0005-0000-0000-00009C120000}"/>
    <cellStyle name="Normal 4 2 2 4 2 2 3 3 2" xfId="13996" xr:uid="{DD339B5F-BEE1-43A8-91AE-BDE22BD7D7F4}"/>
    <cellStyle name="Normal 4 2 2 4 2 2 3 4" xfId="9778" xr:uid="{758F5BC2-4D63-45BC-BF05-F70EC1F76B1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B4B7678F-53F6-48A2-9440-06A946A4E588}"/>
    <cellStyle name="Normal 4 2 2 4 2 2 4 2 3" xfId="12336" xr:uid="{8F5BD988-13CF-4C4D-9DDB-6FF380B514C3}"/>
    <cellStyle name="Normal 4 2 2 4 2 2 4 3" xfId="5967" xr:uid="{00000000-0005-0000-0000-0000A0120000}"/>
    <cellStyle name="Normal 4 2 2 4 2 2 4 3 2" xfId="14409" xr:uid="{F99218E9-BE08-46EC-847B-901D9FB0ED3A}"/>
    <cellStyle name="Normal 4 2 2 4 2 2 4 4" xfId="10191" xr:uid="{56531808-B3CD-4EF9-910C-3E925C431F18}"/>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A7D6B564-DF37-4924-811C-72B11E16400B}"/>
    <cellStyle name="Normal 4 2 2 4 2 2 5 2 3" xfId="12749" xr:uid="{C19FE613-7B22-4836-9A8B-E902E645E675}"/>
    <cellStyle name="Normal 4 2 2 4 2 2 5 3" xfId="6380" xr:uid="{00000000-0005-0000-0000-0000A4120000}"/>
    <cellStyle name="Normal 4 2 2 4 2 2 5 3 2" xfId="14822" xr:uid="{2AC1C9E6-15AF-4E60-9E66-18A6692653AC}"/>
    <cellStyle name="Normal 4 2 2 4 2 2 5 4" xfId="10604" xr:uid="{3EDF257E-2BE8-4269-ACBA-8B48AD80CA45}"/>
    <cellStyle name="Normal 4 2 2 4 2 2 6" xfId="2509" xr:uid="{00000000-0005-0000-0000-0000A5120000}"/>
    <cellStyle name="Normal 4 2 2 4 2 2 6 2" xfId="6793" xr:uid="{00000000-0005-0000-0000-0000A6120000}"/>
    <cellStyle name="Normal 4 2 2 4 2 2 6 2 2" xfId="15235" xr:uid="{651A5342-C566-48A9-8CA4-CC05AFD39E48}"/>
    <cellStyle name="Normal 4 2 2 4 2 2 6 3" xfId="11017" xr:uid="{4721883D-1DEE-417C-AF5F-D94C6163FC90}"/>
    <cellStyle name="Normal 4 2 2 4 2 2 7" xfId="4728" xr:uid="{00000000-0005-0000-0000-0000A7120000}"/>
    <cellStyle name="Normal 4 2 2 4 2 2 7 2" xfId="13170" xr:uid="{525C11CE-380A-4002-B024-A48652971709}"/>
    <cellStyle name="Normal 4 2 2 4 2 2 8" xfId="8952" xr:uid="{FC4FB0FA-1A95-44CD-887A-5AAB9365FD6C}"/>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16E05153-950E-42E8-8962-87D2B1724013}"/>
    <cellStyle name="Normal 4 2 2 4 2 3 2 3" xfId="11509" xr:uid="{6C08BD93-DC5A-4197-9ED9-9D654F4496A6}"/>
    <cellStyle name="Normal 4 2 2 4 2 3 3" xfId="5140" xr:uid="{00000000-0005-0000-0000-0000AB120000}"/>
    <cellStyle name="Normal 4 2 2 4 2 3 3 2" xfId="13582" xr:uid="{4FE23939-FEC0-4145-AF10-5A886262B538}"/>
    <cellStyle name="Normal 4 2 2 4 2 3 4" xfId="9364" xr:uid="{35E94CC3-2156-4E37-8944-69C6819598B2}"/>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54C4CAC1-305C-400E-9212-672BDF38050F}"/>
    <cellStyle name="Normal 4 2 2 4 2 4 2 3" xfId="11922" xr:uid="{7474823D-1782-4C4F-BD1A-CBA9880B2115}"/>
    <cellStyle name="Normal 4 2 2 4 2 4 3" xfId="5553" xr:uid="{00000000-0005-0000-0000-0000AF120000}"/>
    <cellStyle name="Normal 4 2 2 4 2 4 3 2" xfId="13995" xr:uid="{B7E814F6-DEE7-4293-AF00-4E72A9C744E8}"/>
    <cellStyle name="Normal 4 2 2 4 2 4 4" xfId="9777" xr:uid="{27B251AE-999B-43CE-92A1-BDD04576EB0B}"/>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DCE66575-DBAB-4963-9674-D16E66D7C05B}"/>
    <cellStyle name="Normal 4 2 2 4 2 5 2 3" xfId="12335" xr:uid="{509DD056-47C1-48A7-B7FA-6D9AB25314F0}"/>
    <cellStyle name="Normal 4 2 2 4 2 5 3" xfId="5966" xr:uid="{00000000-0005-0000-0000-0000B3120000}"/>
    <cellStyle name="Normal 4 2 2 4 2 5 3 2" xfId="14408" xr:uid="{A5A5F10C-6712-47A7-AC56-4D2E49A7D51F}"/>
    <cellStyle name="Normal 4 2 2 4 2 5 4" xfId="10190" xr:uid="{1EDF9E76-8671-4C8E-8E73-D03E035260CC}"/>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F1A1AB43-7092-4E27-985C-ACDAEA4CB888}"/>
    <cellStyle name="Normal 4 2 2 4 2 6 2 3" xfId="12748" xr:uid="{14980875-1DA5-4001-B649-C765363C1A51}"/>
    <cellStyle name="Normal 4 2 2 4 2 6 3" xfId="6379" xr:uid="{00000000-0005-0000-0000-0000B7120000}"/>
    <cellStyle name="Normal 4 2 2 4 2 6 3 2" xfId="14821" xr:uid="{BEE9265F-331A-4F69-9AED-B3BBA25A34D1}"/>
    <cellStyle name="Normal 4 2 2 4 2 6 4" xfId="10603" xr:uid="{E86DF549-1457-442D-95C6-59A328123AB4}"/>
    <cellStyle name="Normal 4 2 2 4 2 7" xfId="2508" xr:uid="{00000000-0005-0000-0000-0000B8120000}"/>
    <cellStyle name="Normal 4 2 2 4 2 7 2" xfId="6792" xr:uid="{00000000-0005-0000-0000-0000B9120000}"/>
    <cellStyle name="Normal 4 2 2 4 2 7 2 2" xfId="15234" xr:uid="{89AB6090-11BE-475C-B28E-BADCF5122CE6}"/>
    <cellStyle name="Normal 4 2 2 4 2 7 3" xfId="11016" xr:uid="{CB632FC6-7D53-44AD-96AC-49B193C7AB41}"/>
    <cellStyle name="Normal 4 2 2 4 2 8" xfId="4727" xr:uid="{00000000-0005-0000-0000-0000BA120000}"/>
    <cellStyle name="Normal 4 2 2 4 2 8 2" xfId="13169" xr:uid="{DE37A824-9ED3-467E-918B-1E6DC5C464C5}"/>
    <cellStyle name="Normal 4 2 2 4 2 9" xfId="8951" xr:uid="{1186F17B-F3E0-430A-B249-456EA1D2EE0C}"/>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F399E4F2-6900-4A0D-8106-C9C110603EAC}"/>
    <cellStyle name="Normal 4 2 2 4 3 2 2 3" xfId="11511" xr:uid="{222CC95E-873F-4FCC-858A-9F5F26B72084}"/>
    <cellStyle name="Normal 4 2 2 4 3 2 3" xfId="5142" xr:uid="{00000000-0005-0000-0000-0000BF120000}"/>
    <cellStyle name="Normal 4 2 2 4 3 2 3 2" xfId="13584" xr:uid="{875F9A43-B222-4B69-829D-8AE45A27EF95}"/>
    <cellStyle name="Normal 4 2 2 4 3 2 4" xfId="9366" xr:uid="{FAA0528A-E616-47D8-80D0-6404E2D41B98}"/>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956D7860-4C98-4018-BD09-105B1A1324A5}"/>
    <cellStyle name="Normal 4 2 2 4 3 3 2 3" xfId="11924" xr:uid="{F5FA94BE-99B0-42A1-B0C3-2F7E2DE9FF1A}"/>
    <cellStyle name="Normal 4 2 2 4 3 3 3" xfId="5555" xr:uid="{00000000-0005-0000-0000-0000C3120000}"/>
    <cellStyle name="Normal 4 2 2 4 3 3 3 2" xfId="13997" xr:uid="{5CB5F529-57FF-4956-AD87-264DD9D87FD5}"/>
    <cellStyle name="Normal 4 2 2 4 3 3 4" xfId="9779" xr:uid="{706D58F7-5CD6-4F45-AB42-002DDFDD832B}"/>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A0D00881-7049-4AED-84C1-CD17EE09F638}"/>
    <cellStyle name="Normal 4 2 2 4 3 4 2 3" xfId="12337" xr:uid="{DA914B9D-0888-4CC8-A2B9-535B45FE232C}"/>
    <cellStyle name="Normal 4 2 2 4 3 4 3" xfId="5968" xr:uid="{00000000-0005-0000-0000-0000C7120000}"/>
    <cellStyle name="Normal 4 2 2 4 3 4 3 2" xfId="14410" xr:uid="{365DD234-47BC-4094-849D-CFACF7B6DF11}"/>
    <cellStyle name="Normal 4 2 2 4 3 4 4" xfId="10192" xr:uid="{3E280D73-F38E-47B2-BA7D-B757D26ABE35}"/>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27DE63DF-2515-4488-B94E-10CA7F8A11C9}"/>
    <cellStyle name="Normal 4 2 2 4 3 5 2 3" xfId="12750" xr:uid="{982AAFA6-A4EB-4C80-B635-7FD4DC8AC813}"/>
    <cellStyle name="Normal 4 2 2 4 3 5 3" xfId="6381" xr:uid="{00000000-0005-0000-0000-0000CB120000}"/>
    <cellStyle name="Normal 4 2 2 4 3 5 3 2" xfId="14823" xr:uid="{B2AEF319-A750-4894-AAE2-E2157DCB9013}"/>
    <cellStyle name="Normal 4 2 2 4 3 5 4" xfId="10605" xr:uid="{EB96D03A-79DC-45A2-BDD3-5FD89B1E81DF}"/>
    <cellStyle name="Normal 4 2 2 4 3 6" xfId="2510" xr:uid="{00000000-0005-0000-0000-0000CC120000}"/>
    <cellStyle name="Normal 4 2 2 4 3 6 2" xfId="6794" xr:uid="{00000000-0005-0000-0000-0000CD120000}"/>
    <cellStyle name="Normal 4 2 2 4 3 6 2 2" xfId="15236" xr:uid="{0484C27A-FD84-4216-B9D3-2C4C066B6F86}"/>
    <cellStyle name="Normal 4 2 2 4 3 6 3" xfId="11018" xr:uid="{513DF255-53F3-47D7-AED2-7C112C3E79E9}"/>
    <cellStyle name="Normal 4 2 2 4 3 7" xfId="4729" xr:uid="{00000000-0005-0000-0000-0000CE120000}"/>
    <cellStyle name="Normal 4 2 2 4 3 7 2" xfId="13171" xr:uid="{BA797278-6E83-4E8C-93A1-8C192254DE43}"/>
    <cellStyle name="Normal 4 2 2 4 3 8" xfId="8953" xr:uid="{9A67F5DD-1EAC-4B91-AF63-F03E94D573B4}"/>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90F96633-4D91-4B36-8C26-B69EF624A673}"/>
    <cellStyle name="Normal 4 2 2 4 4 2 3" xfId="11508" xr:uid="{8E07F9C5-E30F-43B5-A8D2-E44DFD0224D3}"/>
    <cellStyle name="Normal 4 2 2 4 4 3" xfId="5139" xr:uid="{00000000-0005-0000-0000-0000D2120000}"/>
    <cellStyle name="Normal 4 2 2 4 4 3 2" xfId="13581" xr:uid="{925A59A2-30B6-4ABE-8593-AE2227F1BB4D}"/>
    <cellStyle name="Normal 4 2 2 4 4 4" xfId="9363" xr:uid="{0280ABCD-A194-4990-91B5-8324D036D9D2}"/>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96DD300A-39F8-4E84-971C-3DAA64187334}"/>
    <cellStyle name="Normal 4 2 2 4 5 2 3" xfId="11921" xr:uid="{74E13C2E-84AE-4E9B-AA52-6C103DCF9DC4}"/>
    <cellStyle name="Normal 4 2 2 4 5 3" xfId="5552" xr:uid="{00000000-0005-0000-0000-0000D6120000}"/>
    <cellStyle name="Normal 4 2 2 4 5 3 2" xfId="13994" xr:uid="{8059CBEE-BB53-48A8-AC75-04DCA7C3A472}"/>
    <cellStyle name="Normal 4 2 2 4 5 4" xfId="9776" xr:uid="{CCD6D445-5683-4436-8273-CCC6A39919C7}"/>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DDD7F6D2-242D-4A02-A0EC-3562D57ED7EB}"/>
    <cellStyle name="Normal 4 2 2 4 6 2 3" xfId="12334" xr:uid="{9CA05761-A60F-41B9-9EBC-18807B70973D}"/>
    <cellStyle name="Normal 4 2 2 4 6 3" xfId="5965" xr:uid="{00000000-0005-0000-0000-0000DA120000}"/>
    <cellStyle name="Normal 4 2 2 4 6 3 2" xfId="14407" xr:uid="{92112C97-D638-4CE7-8C80-513075F3BF6E}"/>
    <cellStyle name="Normal 4 2 2 4 6 4" xfId="10189" xr:uid="{03402C48-B3F6-492D-AC16-B32167155784}"/>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E85B874C-29FD-4D3E-BEA9-07706B324526}"/>
    <cellStyle name="Normal 4 2 2 4 7 2 3" xfId="12747" xr:uid="{B1E877CB-0690-4798-87FB-078165BB05C1}"/>
    <cellStyle name="Normal 4 2 2 4 7 3" xfId="6378" xr:uid="{00000000-0005-0000-0000-0000DE120000}"/>
    <cellStyle name="Normal 4 2 2 4 7 3 2" xfId="14820" xr:uid="{55C80CE8-3EC0-4CC1-B972-0821423A80B6}"/>
    <cellStyle name="Normal 4 2 2 4 7 4" xfId="10602" xr:uid="{34C91958-9E31-42BE-83E1-67C6078A3CBD}"/>
    <cellStyle name="Normal 4 2 2 4 8" xfId="2507" xr:uid="{00000000-0005-0000-0000-0000DF120000}"/>
    <cellStyle name="Normal 4 2 2 4 8 2" xfId="6791" xr:uid="{00000000-0005-0000-0000-0000E0120000}"/>
    <cellStyle name="Normal 4 2 2 4 8 2 2" xfId="15233" xr:uid="{4BE5D0B4-60B0-4839-98E0-467D92038AE6}"/>
    <cellStyle name="Normal 4 2 2 4 8 3" xfId="11015" xr:uid="{61A170E1-07A9-4895-ACD0-EAC66DECEE57}"/>
    <cellStyle name="Normal 4 2 2 4 9" xfId="4726" xr:uid="{00000000-0005-0000-0000-0000E1120000}"/>
    <cellStyle name="Normal 4 2 2 4 9 2" xfId="13168" xr:uid="{9F59DAB2-48EA-49F2-854A-7B4903643483}"/>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88748FA2-A8E7-458B-9A46-87B14338A8C5}"/>
    <cellStyle name="Normal 4 2 2 5 2 2 2 3" xfId="11513" xr:uid="{33DCAD43-D74D-4185-BC73-624FE821C5F0}"/>
    <cellStyle name="Normal 4 2 2 5 2 2 3" xfId="5144" xr:uid="{00000000-0005-0000-0000-0000E7120000}"/>
    <cellStyle name="Normal 4 2 2 5 2 2 3 2" xfId="13586" xr:uid="{2A66A748-6A63-4DA1-9C08-B3B1EEBD26F7}"/>
    <cellStyle name="Normal 4 2 2 5 2 2 4" xfId="9368" xr:uid="{C870D69E-CA4C-4CF4-BB4B-3D0CEB7999BA}"/>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C019ADDF-8B1C-47E4-BCCC-646C1DA0AD0C}"/>
    <cellStyle name="Normal 4 2 2 5 2 3 2 3" xfId="11926" xr:uid="{06B6919D-2A81-4C1D-9BDE-D22FEA678822}"/>
    <cellStyle name="Normal 4 2 2 5 2 3 3" xfId="5557" xr:uid="{00000000-0005-0000-0000-0000EB120000}"/>
    <cellStyle name="Normal 4 2 2 5 2 3 3 2" xfId="13999" xr:uid="{DE68EF95-F014-409E-96F2-4559173B7009}"/>
    <cellStyle name="Normal 4 2 2 5 2 3 4" xfId="9781" xr:uid="{E490923E-B814-4299-B4E7-70A37F8D667D}"/>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A750F259-6CDE-470D-97D0-A4A82E41FC6A}"/>
    <cellStyle name="Normal 4 2 2 5 2 4 2 3" xfId="12339" xr:uid="{80EC32B4-41FB-4542-AFFA-07AEBBB9EF88}"/>
    <cellStyle name="Normal 4 2 2 5 2 4 3" xfId="5970" xr:uid="{00000000-0005-0000-0000-0000EF120000}"/>
    <cellStyle name="Normal 4 2 2 5 2 4 3 2" xfId="14412" xr:uid="{15A58F6C-9301-4919-BBE4-9663FCBCFE66}"/>
    <cellStyle name="Normal 4 2 2 5 2 4 4" xfId="10194" xr:uid="{F3B8CB94-804B-41CB-9557-C88AC37DCC04}"/>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099CB0E5-58F4-41A3-B516-6058CB9509CC}"/>
    <cellStyle name="Normal 4 2 2 5 2 5 2 3" xfId="12752" xr:uid="{C7D86D6A-EF97-4442-89DD-F7DD3AE8EE68}"/>
    <cellStyle name="Normal 4 2 2 5 2 5 3" xfId="6383" xr:uid="{00000000-0005-0000-0000-0000F3120000}"/>
    <cellStyle name="Normal 4 2 2 5 2 5 3 2" xfId="14825" xr:uid="{D20963B9-D5C6-4F68-A377-E57C4D7C67EA}"/>
    <cellStyle name="Normal 4 2 2 5 2 5 4" xfId="10607" xr:uid="{2823B8FF-A092-48C6-99FA-A3943DA37C48}"/>
    <cellStyle name="Normal 4 2 2 5 2 6" xfId="2512" xr:uid="{00000000-0005-0000-0000-0000F4120000}"/>
    <cellStyle name="Normal 4 2 2 5 2 6 2" xfId="6796" xr:uid="{00000000-0005-0000-0000-0000F5120000}"/>
    <cellStyle name="Normal 4 2 2 5 2 6 2 2" xfId="15238" xr:uid="{265EA046-EDBA-495E-80E7-6061B1883DD5}"/>
    <cellStyle name="Normal 4 2 2 5 2 6 3" xfId="11020" xr:uid="{052B7F8C-AEE3-4238-B401-7A444E2B3B29}"/>
    <cellStyle name="Normal 4 2 2 5 2 7" xfId="4731" xr:uid="{00000000-0005-0000-0000-0000F6120000}"/>
    <cellStyle name="Normal 4 2 2 5 2 7 2" xfId="13173" xr:uid="{EE27678F-735A-48C5-B14F-A5BEBEC02D55}"/>
    <cellStyle name="Normal 4 2 2 5 2 8" xfId="8955" xr:uid="{7998BD64-4BE5-44A8-A5DA-18C3DE98F3F9}"/>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BBD59AB9-0B02-40F4-B134-61621A3696D5}"/>
    <cellStyle name="Normal 4 2 2 5 3 2 3" xfId="11512" xr:uid="{944A9A0E-05E5-4BB8-BA8A-0E384A5FF0A3}"/>
    <cellStyle name="Normal 4 2 2 5 3 3" xfId="5143" xr:uid="{00000000-0005-0000-0000-0000FA120000}"/>
    <cellStyle name="Normal 4 2 2 5 3 3 2" xfId="13585" xr:uid="{EBD19619-86A8-46FA-80A0-75CA917A8C83}"/>
    <cellStyle name="Normal 4 2 2 5 3 4" xfId="9367" xr:uid="{9A74C81D-57E8-406D-AE7A-A54D6503B87C}"/>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70D6AEC3-C3FB-48B5-89CB-58A7E76AE267}"/>
    <cellStyle name="Normal 4 2 2 5 4 2 3" xfId="11925" xr:uid="{04DEBD6E-76A9-473B-8CAC-A58A67CD0260}"/>
    <cellStyle name="Normal 4 2 2 5 4 3" xfId="5556" xr:uid="{00000000-0005-0000-0000-0000FE120000}"/>
    <cellStyle name="Normal 4 2 2 5 4 3 2" xfId="13998" xr:uid="{471713A1-8FE3-4301-8A6E-B1800D914F5B}"/>
    <cellStyle name="Normal 4 2 2 5 4 4" xfId="9780" xr:uid="{F8BA5838-5E97-4DD4-B99D-0242590BCA95}"/>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BDE4D52D-45D5-4B33-BA76-8EF56FBC4049}"/>
    <cellStyle name="Normal 4 2 2 5 5 2 3" xfId="12338" xr:uid="{C8D9B746-8D3F-44AB-B1F0-11AEC43B5C33}"/>
    <cellStyle name="Normal 4 2 2 5 5 3" xfId="5969" xr:uid="{00000000-0005-0000-0000-000002130000}"/>
    <cellStyle name="Normal 4 2 2 5 5 3 2" xfId="14411" xr:uid="{89F4D09D-BF12-4C03-81BC-B6E89DD89805}"/>
    <cellStyle name="Normal 4 2 2 5 5 4" xfId="10193" xr:uid="{7C574443-8EA3-4F64-8A95-176F3AF29B19}"/>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0533E38E-2CE3-4DF8-BB76-5888FE807035}"/>
    <cellStyle name="Normal 4 2 2 5 6 2 3" xfId="12751" xr:uid="{B2513ED5-83CA-4B1A-9E68-4F440F225DAD}"/>
    <cellStyle name="Normal 4 2 2 5 6 3" xfId="6382" xr:uid="{00000000-0005-0000-0000-000006130000}"/>
    <cellStyle name="Normal 4 2 2 5 6 3 2" xfId="14824" xr:uid="{A6BA7361-B86C-40CE-8DD6-4486AE89D6B7}"/>
    <cellStyle name="Normal 4 2 2 5 6 4" xfId="10606" xr:uid="{97791294-931D-4833-BD1F-69BA3492B995}"/>
    <cellStyle name="Normal 4 2 2 5 7" xfId="2511" xr:uid="{00000000-0005-0000-0000-000007130000}"/>
    <cellStyle name="Normal 4 2 2 5 7 2" xfId="6795" xr:uid="{00000000-0005-0000-0000-000008130000}"/>
    <cellStyle name="Normal 4 2 2 5 7 2 2" xfId="15237" xr:uid="{3624FF9C-6E6E-4CB5-B52F-C94A4D609A40}"/>
    <cellStyle name="Normal 4 2 2 5 7 3" xfId="11019" xr:uid="{ADD21B49-1975-480A-849E-A5BF64A57252}"/>
    <cellStyle name="Normal 4 2 2 5 8" xfId="4730" xr:uid="{00000000-0005-0000-0000-000009130000}"/>
    <cellStyle name="Normal 4 2 2 5 8 2" xfId="13172" xr:uid="{ECFA297C-46B8-44A0-A620-525679FF5F52}"/>
    <cellStyle name="Normal 4 2 2 5 9" xfId="8954" xr:uid="{923D7EB2-B920-4581-BCCF-7FEA67ABD559}"/>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AA616323-CF03-4720-B32E-04A4131AD0F7}"/>
    <cellStyle name="Normal 4 2 2 6 2 2 3" xfId="11514" xr:uid="{433A0C7E-5826-4B61-AF0E-A77C100E30E8}"/>
    <cellStyle name="Normal 4 2 2 6 2 3" xfId="5145" xr:uid="{00000000-0005-0000-0000-00000E130000}"/>
    <cellStyle name="Normal 4 2 2 6 2 3 2" xfId="13587" xr:uid="{7DC5B8CD-0258-4FEA-95A1-3C54A8C434C1}"/>
    <cellStyle name="Normal 4 2 2 6 2 4" xfId="9369" xr:uid="{8B019E8F-C8CD-4B79-AE35-2C0044C95D23}"/>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3B37BB9F-8D14-40D2-86F3-7011451E66B3}"/>
    <cellStyle name="Normal 4 2 2 6 3 2 3" xfId="11927" xr:uid="{57385EDC-4E75-4FA5-B264-7B79777CCD27}"/>
    <cellStyle name="Normal 4 2 2 6 3 3" xfId="5558" xr:uid="{00000000-0005-0000-0000-000012130000}"/>
    <cellStyle name="Normal 4 2 2 6 3 3 2" xfId="14000" xr:uid="{8B8B4F3D-A76B-4998-A3F7-35D94CFF35A8}"/>
    <cellStyle name="Normal 4 2 2 6 3 4" xfId="9782" xr:uid="{EECEF8A4-B4C6-4691-B7A0-FF33F3AAB80C}"/>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6EE3AF97-384D-4FA3-9B7F-F7BDEB93B195}"/>
    <cellStyle name="Normal 4 2 2 6 4 2 3" xfId="12340" xr:uid="{E1A7F4FA-57B5-48AF-A3C9-77C6ED3875CC}"/>
    <cellStyle name="Normal 4 2 2 6 4 3" xfId="5971" xr:uid="{00000000-0005-0000-0000-000016130000}"/>
    <cellStyle name="Normal 4 2 2 6 4 3 2" xfId="14413" xr:uid="{C2DFF8F3-5A8A-4713-908E-5483EAB35B65}"/>
    <cellStyle name="Normal 4 2 2 6 4 4" xfId="10195" xr:uid="{7C1C9013-D6E9-4274-88C3-FDFD3DD037F1}"/>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4623C1D9-5AED-4475-8F99-77DA515529DD}"/>
    <cellStyle name="Normal 4 2 2 6 5 2 3" xfId="12753" xr:uid="{00839650-B7F7-4B00-AC15-4DABD60A7FD2}"/>
    <cellStyle name="Normal 4 2 2 6 5 3" xfId="6384" xr:uid="{00000000-0005-0000-0000-00001A130000}"/>
    <cellStyle name="Normal 4 2 2 6 5 3 2" xfId="14826" xr:uid="{B0F56946-E584-4CBF-B601-72D3DAD4200A}"/>
    <cellStyle name="Normal 4 2 2 6 5 4" xfId="10608" xr:uid="{3F8684DF-49B1-41D4-AC68-63D536C72E72}"/>
    <cellStyle name="Normal 4 2 2 6 6" xfId="2513" xr:uid="{00000000-0005-0000-0000-00001B130000}"/>
    <cellStyle name="Normal 4 2 2 6 6 2" xfId="6797" xr:uid="{00000000-0005-0000-0000-00001C130000}"/>
    <cellStyle name="Normal 4 2 2 6 6 2 2" xfId="15239" xr:uid="{1FFCDE78-8A8A-49E8-9A02-901F4B3CA2B9}"/>
    <cellStyle name="Normal 4 2 2 6 6 3" xfId="11021" xr:uid="{96CFE331-3741-4D93-88D4-23395AF77C5B}"/>
    <cellStyle name="Normal 4 2 2 6 7" xfId="4732" xr:uid="{00000000-0005-0000-0000-00001D130000}"/>
    <cellStyle name="Normal 4 2 2 6 7 2" xfId="13174" xr:uid="{E93AED02-D927-4449-AC0C-0F8052A187BD}"/>
    <cellStyle name="Normal 4 2 2 6 8" xfId="8956" xr:uid="{2F733F77-37A9-4D3D-B411-104063DBB846}"/>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DCFF84E0-2FFA-44EF-89EC-CC08D082F576}"/>
    <cellStyle name="Normal 4 2 2 7 2 3" xfId="11499" xr:uid="{AC9CFC32-8535-4164-B291-25438BFB3B8F}"/>
    <cellStyle name="Normal 4 2 2 7 3" xfId="5130" xr:uid="{00000000-0005-0000-0000-000021130000}"/>
    <cellStyle name="Normal 4 2 2 7 3 2" xfId="13572" xr:uid="{433A94D3-0C70-463A-B5B4-7530848F3C09}"/>
    <cellStyle name="Normal 4 2 2 7 4" xfId="9354" xr:uid="{6173689F-5B12-44FC-9794-E5C239F6DE4F}"/>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6C1FC9A9-B3A9-4FFE-B80B-E2794468507A}"/>
    <cellStyle name="Normal 4 2 2 8 2 3" xfId="11912" xr:uid="{291EB6C1-E804-428F-A8C5-B3315FB80929}"/>
    <cellStyle name="Normal 4 2 2 8 3" xfId="5543" xr:uid="{00000000-0005-0000-0000-000025130000}"/>
    <cellStyle name="Normal 4 2 2 8 3 2" xfId="13985" xr:uid="{86183A3E-BCE2-462E-8F22-F2C1C7E33D77}"/>
    <cellStyle name="Normal 4 2 2 8 4" xfId="9767" xr:uid="{4890E91C-5FAB-43EC-98B3-C81A59CC3E44}"/>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EB9493FD-6CBB-40F5-B557-6DC252BFD005}"/>
    <cellStyle name="Normal 4 2 2 9 2 3" xfId="12325" xr:uid="{8A356D6D-8BBA-47FA-AB03-CBF2522EB78C}"/>
    <cellStyle name="Normal 4 2 2 9 3" xfId="5956" xr:uid="{00000000-0005-0000-0000-000029130000}"/>
    <cellStyle name="Normal 4 2 2 9 3 2" xfId="14398" xr:uid="{0BC539DB-8D33-4323-95CC-490E38A2C735}"/>
    <cellStyle name="Normal 4 2 2 9 4" xfId="10180" xr:uid="{220BFF7E-61E6-4F04-9F8B-6C77413D66D3}"/>
    <cellStyle name="Normal 4 2 3" xfId="354" xr:uid="{00000000-0005-0000-0000-00002A130000}"/>
    <cellStyle name="Normal 4 2 4" xfId="355" xr:uid="{00000000-0005-0000-0000-00002B130000}"/>
    <cellStyle name="Normal 4 2 4 10" xfId="4733" xr:uid="{00000000-0005-0000-0000-00002C130000}"/>
    <cellStyle name="Normal 4 2 4 10 2" xfId="13175" xr:uid="{121429B7-8C6C-4E02-B8B5-E2606898F930}"/>
    <cellStyle name="Normal 4 2 4 11" xfId="8957" xr:uid="{3B7ABBEA-938C-4CF4-B51A-09C55CF11FE6}"/>
    <cellStyle name="Normal 4 2 4 2" xfId="356" xr:uid="{00000000-0005-0000-0000-00002D130000}"/>
    <cellStyle name="Normal 4 2 4 2 10" xfId="8958" xr:uid="{1054C945-E034-46DE-9E11-D3C5E2B66D5C}"/>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435EBFED-D11E-4AF9-B7D7-015D2276DAF9}"/>
    <cellStyle name="Normal 4 2 4 2 2 2 2 2 3" xfId="11518" xr:uid="{5A85DCB7-8061-456E-A1D3-AD99B67BF48E}"/>
    <cellStyle name="Normal 4 2 4 2 2 2 2 3" xfId="5149" xr:uid="{00000000-0005-0000-0000-000033130000}"/>
    <cellStyle name="Normal 4 2 4 2 2 2 2 3 2" xfId="13591" xr:uid="{1B12FDFD-BAD7-4406-AE28-28E0F9E65FCC}"/>
    <cellStyle name="Normal 4 2 4 2 2 2 2 4" xfId="9373" xr:uid="{B3CFDD96-0526-48D3-8DDE-BE5BF7346CAC}"/>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DBB619FB-2083-441C-A2EC-D572483E6F44}"/>
    <cellStyle name="Normal 4 2 4 2 2 2 3 2 3" xfId="11931" xr:uid="{AB8B339D-F787-4E89-814F-33F3ECF02EDF}"/>
    <cellStyle name="Normal 4 2 4 2 2 2 3 3" xfId="5562" xr:uid="{00000000-0005-0000-0000-000037130000}"/>
    <cellStyle name="Normal 4 2 4 2 2 2 3 3 2" xfId="14004" xr:uid="{91A15F9C-9AA2-4C74-B828-C59F31987175}"/>
    <cellStyle name="Normal 4 2 4 2 2 2 3 4" xfId="9786" xr:uid="{359C1519-5B5E-407F-9222-CB33317B92F4}"/>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11C6D1DF-B1C3-48B8-ADD4-F6F2E7288965}"/>
    <cellStyle name="Normal 4 2 4 2 2 2 4 2 3" xfId="12344" xr:uid="{37AB8625-BD7C-4BC3-8F02-5B7303D8AEB7}"/>
    <cellStyle name="Normal 4 2 4 2 2 2 4 3" xfId="5975" xr:uid="{00000000-0005-0000-0000-00003B130000}"/>
    <cellStyle name="Normal 4 2 4 2 2 2 4 3 2" xfId="14417" xr:uid="{15EDCB90-DF32-42C3-943C-2D15A1C92648}"/>
    <cellStyle name="Normal 4 2 4 2 2 2 4 4" xfId="10199" xr:uid="{5F33BD99-91F6-4C57-BBBD-2B3F2DF2D587}"/>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17CA28DD-961B-4810-A17B-43A888F3D6F1}"/>
    <cellStyle name="Normal 4 2 4 2 2 2 5 2 3" xfId="12757" xr:uid="{23106C9F-FF8E-40F6-9F7B-FC55175CED36}"/>
    <cellStyle name="Normal 4 2 4 2 2 2 5 3" xfId="6388" xr:uid="{00000000-0005-0000-0000-00003F130000}"/>
    <cellStyle name="Normal 4 2 4 2 2 2 5 3 2" xfId="14830" xr:uid="{C5E315DB-8F4F-4682-B5E2-4BB6A0D6BF1C}"/>
    <cellStyle name="Normal 4 2 4 2 2 2 5 4" xfId="10612" xr:uid="{BB1FDA1E-02B6-4C37-B87C-28C6B249C90F}"/>
    <cellStyle name="Normal 4 2 4 2 2 2 6" xfId="2517" xr:uid="{00000000-0005-0000-0000-000040130000}"/>
    <cellStyle name="Normal 4 2 4 2 2 2 6 2" xfId="6801" xr:uid="{00000000-0005-0000-0000-000041130000}"/>
    <cellStyle name="Normal 4 2 4 2 2 2 6 2 2" xfId="15243" xr:uid="{35711764-FCD8-47C9-861E-9A1F6D1D168C}"/>
    <cellStyle name="Normal 4 2 4 2 2 2 6 3" xfId="11025" xr:uid="{0DD8BD2D-B40E-4490-9188-01E15D0146BF}"/>
    <cellStyle name="Normal 4 2 4 2 2 2 7" xfId="4736" xr:uid="{00000000-0005-0000-0000-000042130000}"/>
    <cellStyle name="Normal 4 2 4 2 2 2 7 2" xfId="13178" xr:uid="{7C9D9B6C-A742-4784-B01B-BFBD9F6A5595}"/>
    <cellStyle name="Normal 4 2 4 2 2 2 8" xfId="8960" xr:uid="{F7E57859-2919-4CB1-A080-38499B61A0A3}"/>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9F588C10-393A-49F4-9A43-05B68D0C865E}"/>
    <cellStyle name="Normal 4 2 4 2 2 3 2 3" xfId="11517" xr:uid="{BA3ED9B4-45D6-4B2A-8F0D-5603C5F3D1CC}"/>
    <cellStyle name="Normal 4 2 4 2 2 3 3" xfId="5148" xr:uid="{00000000-0005-0000-0000-000046130000}"/>
    <cellStyle name="Normal 4 2 4 2 2 3 3 2" xfId="13590" xr:uid="{321C6184-C20A-4592-9043-0630093BC5FB}"/>
    <cellStyle name="Normal 4 2 4 2 2 3 4" xfId="9372" xr:uid="{E8170129-9B8B-44F9-B7A7-EF4DA4A0E778}"/>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5C31602C-D45F-4C11-BBDC-A9715AAD9E99}"/>
    <cellStyle name="Normal 4 2 4 2 2 4 2 3" xfId="11930" xr:uid="{17F4E3F1-B521-416C-8663-C881900F2553}"/>
    <cellStyle name="Normal 4 2 4 2 2 4 3" xfId="5561" xr:uid="{00000000-0005-0000-0000-00004A130000}"/>
    <cellStyle name="Normal 4 2 4 2 2 4 3 2" xfId="14003" xr:uid="{DD044381-CBE5-4E6D-9F02-4AFC8E5B54CA}"/>
    <cellStyle name="Normal 4 2 4 2 2 4 4" xfId="9785" xr:uid="{3010F218-7959-4173-B4F2-31900A7580B1}"/>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60A93003-FA8B-4700-9057-08CEF71F6B25}"/>
    <cellStyle name="Normal 4 2 4 2 2 5 2 3" xfId="12343" xr:uid="{21E8CFE9-0480-4A1E-AEB5-40926B6E4D58}"/>
    <cellStyle name="Normal 4 2 4 2 2 5 3" xfId="5974" xr:uid="{00000000-0005-0000-0000-00004E130000}"/>
    <cellStyle name="Normal 4 2 4 2 2 5 3 2" xfId="14416" xr:uid="{66C6BE24-A2D7-4682-AAED-745F9FF9F623}"/>
    <cellStyle name="Normal 4 2 4 2 2 5 4" xfId="10198" xr:uid="{A1B7AAFF-EF44-4171-9097-5F45DE3D802C}"/>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A72E02C7-3977-41AE-AFFE-689804307703}"/>
    <cellStyle name="Normal 4 2 4 2 2 6 2 3" xfId="12756" xr:uid="{665CBE25-0FD3-4340-A010-AF42187A9B0A}"/>
    <cellStyle name="Normal 4 2 4 2 2 6 3" xfId="6387" xr:uid="{00000000-0005-0000-0000-000052130000}"/>
    <cellStyle name="Normal 4 2 4 2 2 6 3 2" xfId="14829" xr:uid="{202DC009-28B1-401C-9AB9-A855CA39D2ED}"/>
    <cellStyle name="Normal 4 2 4 2 2 6 4" xfId="10611" xr:uid="{44EC6703-DD6A-4DA1-B09B-C03782C26A65}"/>
    <cellStyle name="Normal 4 2 4 2 2 7" xfId="2516" xr:uid="{00000000-0005-0000-0000-000053130000}"/>
    <cellStyle name="Normal 4 2 4 2 2 7 2" xfId="6800" xr:uid="{00000000-0005-0000-0000-000054130000}"/>
    <cellStyle name="Normal 4 2 4 2 2 7 2 2" xfId="15242" xr:uid="{2327076B-926F-4801-A41D-F69A429C8CCC}"/>
    <cellStyle name="Normal 4 2 4 2 2 7 3" xfId="11024" xr:uid="{C225A8AE-52C9-4A59-8D33-13A5D6A6EF70}"/>
    <cellStyle name="Normal 4 2 4 2 2 8" xfId="4735" xr:uid="{00000000-0005-0000-0000-000055130000}"/>
    <cellStyle name="Normal 4 2 4 2 2 8 2" xfId="13177" xr:uid="{6297389D-B546-4FEB-96C0-F6DAA15B7E3B}"/>
    <cellStyle name="Normal 4 2 4 2 2 9" xfId="8959" xr:uid="{A566C37F-18DA-4224-9173-C8CF456596C4}"/>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42DD1195-B580-4D8F-921D-E5E826ACC663}"/>
    <cellStyle name="Normal 4 2 4 2 3 2 2 3" xfId="11519" xr:uid="{AB04DED9-50AD-4718-A698-E3FBA8B23490}"/>
    <cellStyle name="Normal 4 2 4 2 3 2 3" xfId="5150" xr:uid="{00000000-0005-0000-0000-00005A130000}"/>
    <cellStyle name="Normal 4 2 4 2 3 2 3 2" xfId="13592" xr:uid="{3BC50C7B-4EE8-48FC-941C-DAAD86E6347B}"/>
    <cellStyle name="Normal 4 2 4 2 3 2 4" xfId="9374" xr:uid="{A0E5FEA2-D5B4-44B0-A6BA-CB5FFD1C26BC}"/>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A99AB4AD-4359-4916-8B69-CC9055A1D37D}"/>
    <cellStyle name="Normal 4 2 4 2 3 3 2 3" xfId="11932" xr:uid="{A1C8D4C3-CD3A-4631-8FA4-F66B74D250A8}"/>
    <cellStyle name="Normal 4 2 4 2 3 3 3" xfId="5563" xr:uid="{00000000-0005-0000-0000-00005E130000}"/>
    <cellStyle name="Normal 4 2 4 2 3 3 3 2" xfId="14005" xr:uid="{9D26FE79-F6A0-494A-BB22-6ECE10AED62B}"/>
    <cellStyle name="Normal 4 2 4 2 3 3 4" xfId="9787" xr:uid="{BF53A570-13DA-4D35-90EE-56CF11BEAC9E}"/>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4808417F-DE7D-4BC9-A433-89FB86D5817E}"/>
    <cellStyle name="Normal 4 2 4 2 3 4 2 3" xfId="12345" xr:uid="{90F090AA-E7CB-44B8-B742-3E553564D959}"/>
    <cellStyle name="Normal 4 2 4 2 3 4 3" xfId="5976" xr:uid="{00000000-0005-0000-0000-000062130000}"/>
    <cellStyle name="Normal 4 2 4 2 3 4 3 2" xfId="14418" xr:uid="{DFFD6EE0-48F2-4213-9E56-DF82F1F50B5D}"/>
    <cellStyle name="Normal 4 2 4 2 3 4 4" xfId="10200" xr:uid="{271CFCE6-4055-45DF-AB9E-2922D3BDE74F}"/>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EAD0E942-274D-491A-AB72-4D6156CAB1F0}"/>
    <cellStyle name="Normal 4 2 4 2 3 5 2 3" xfId="12758" xr:uid="{346344DC-5218-4E3E-AF8F-F7221AFDEEE1}"/>
    <cellStyle name="Normal 4 2 4 2 3 5 3" xfId="6389" xr:uid="{00000000-0005-0000-0000-000066130000}"/>
    <cellStyle name="Normal 4 2 4 2 3 5 3 2" xfId="14831" xr:uid="{ED210946-B66A-4F23-BCA0-B0E119ABD6AF}"/>
    <cellStyle name="Normal 4 2 4 2 3 5 4" xfId="10613" xr:uid="{6F3E96B9-36CC-4AD4-9CA3-0BA9859FCF51}"/>
    <cellStyle name="Normal 4 2 4 2 3 6" xfId="2518" xr:uid="{00000000-0005-0000-0000-000067130000}"/>
    <cellStyle name="Normal 4 2 4 2 3 6 2" xfId="6802" xr:uid="{00000000-0005-0000-0000-000068130000}"/>
    <cellStyle name="Normal 4 2 4 2 3 6 2 2" xfId="15244" xr:uid="{DBD2C5C7-C381-47CB-BBAA-BEA8A63C8048}"/>
    <cellStyle name="Normal 4 2 4 2 3 6 3" xfId="11026" xr:uid="{0D66C1A9-73D8-4A50-914C-EDA886A8D09E}"/>
    <cellStyle name="Normal 4 2 4 2 3 7" xfId="4737" xr:uid="{00000000-0005-0000-0000-000069130000}"/>
    <cellStyle name="Normal 4 2 4 2 3 7 2" xfId="13179" xr:uid="{BF446177-2287-43C1-9600-BB2E51E521AB}"/>
    <cellStyle name="Normal 4 2 4 2 3 8" xfId="8961" xr:uid="{AB12C169-D223-4F5B-8169-99F7ADB8DBC3}"/>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2B884766-7EC4-417B-B7BA-6888BA996442}"/>
    <cellStyle name="Normal 4 2 4 2 4 2 3" xfId="11516" xr:uid="{7864718F-2E59-436B-9447-0105E66DF001}"/>
    <cellStyle name="Normal 4 2 4 2 4 3" xfId="5147" xr:uid="{00000000-0005-0000-0000-00006D130000}"/>
    <cellStyle name="Normal 4 2 4 2 4 3 2" xfId="13589" xr:uid="{3FE0CC2D-73AD-4CC9-BA0B-D4800FB2CBF0}"/>
    <cellStyle name="Normal 4 2 4 2 4 4" xfId="9371" xr:uid="{AC80A635-22F2-480A-BEC2-82E25C7C51E0}"/>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4540A32C-DF53-45BE-B4B1-A9E65F464C05}"/>
    <cellStyle name="Normal 4 2 4 2 5 2 3" xfId="11929" xr:uid="{D102D0AA-BC08-4481-BF7F-9565B1B36982}"/>
    <cellStyle name="Normal 4 2 4 2 5 3" xfId="5560" xr:uid="{00000000-0005-0000-0000-000071130000}"/>
    <cellStyle name="Normal 4 2 4 2 5 3 2" xfId="14002" xr:uid="{C8C2BFDE-AB26-41D5-A504-2779DEB3B2E2}"/>
    <cellStyle name="Normal 4 2 4 2 5 4" xfId="9784" xr:uid="{4711E6BE-2FF8-4D39-8402-3A16F30C3231}"/>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708053BE-6642-4AAE-9971-BB4B349A6175}"/>
    <cellStyle name="Normal 4 2 4 2 6 2 3" xfId="12342" xr:uid="{B3023AAB-F627-4D69-8FE5-D398B2640030}"/>
    <cellStyle name="Normal 4 2 4 2 6 3" xfId="5973" xr:uid="{00000000-0005-0000-0000-000075130000}"/>
    <cellStyle name="Normal 4 2 4 2 6 3 2" xfId="14415" xr:uid="{EFA03D4E-0CB8-430B-9F72-0FB63C154443}"/>
    <cellStyle name="Normal 4 2 4 2 6 4" xfId="10197" xr:uid="{D50D12F4-FE55-409B-BDB0-E137E0F1D67D}"/>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9D887834-F62F-419C-8DDF-635936F37F9B}"/>
    <cellStyle name="Normal 4 2 4 2 7 2 3" xfId="12755" xr:uid="{89B23806-20B6-4169-A700-2E43DE904968}"/>
    <cellStyle name="Normal 4 2 4 2 7 3" xfId="6386" xr:uid="{00000000-0005-0000-0000-000079130000}"/>
    <cellStyle name="Normal 4 2 4 2 7 3 2" xfId="14828" xr:uid="{BE564A98-59DF-4912-B9A6-32D50F8A8218}"/>
    <cellStyle name="Normal 4 2 4 2 7 4" xfId="10610" xr:uid="{0D92B31B-7A2C-4FCE-A23E-73040D0C89AB}"/>
    <cellStyle name="Normal 4 2 4 2 8" xfId="2515" xr:uid="{00000000-0005-0000-0000-00007A130000}"/>
    <cellStyle name="Normal 4 2 4 2 8 2" xfId="6799" xr:uid="{00000000-0005-0000-0000-00007B130000}"/>
    <cellStyle name="Normal 4 2 4 2 8 2 2" xfId="15241" xr:uid="{17027C8E-4330-4485-BC30-A6DB7E1A1B66}"/>
    <cellStyle name="Normal 4 2 4 2 8 3" xfId="11023" xr:uid="{6756AD86-4F28-4AE6-A2FB-BF9BC80475BB}"/>
    <cellStyle name="Normal 4 2 4 2 9" xfId="4734" xr:uid="{00000000-0005-0000-0000-00007C130000}"/>
    <cellStyle name="Normal 4 2 4 2 9 2" xfId="13176" xr:uid="{CF5544E1-3C15-497C-ADAE-05C7013F6B63}"/>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31B1F237-0DC5-4FD6-9710-FD389E36F2FA}"/>
    <cellStyle name="Normal 4 2 4 3 2 2 2 3" xfId="11521" xr:uid="{D9EE0B14-93FA-4D6A-A892-35C1E80E223D}"/>
    <cellStyle name="Normal 4 2 4 3 2 2 3" xfId="5152" xr:uid="{00000000-0005-0000-0000-000082130000}"/>
    <cellStyle name="Normal 4 2 4 3 2 2 3 2" xfId="13594" xr:uid="{34E43269-1B27-4C2A-A699-45B6C310B0B3}"/>
    <cellStyle name="Normal 4 2 4 3 2 2 4" xfId="9376" xr:uid="{9A586547-BB15-4C15-8C84-1F80886D31EA}"/>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CB451A56-1A37-401A-9EDC-66F3A0BCEC79}"/>
    <cellStyle name="Normal 4 2 4 3 2 3 2 3" xfId="11934" xr:uid="{0E187A56-482F-410C-8235-DB01B3138D04}"/>
    <cellStyle name="Normal 4 2 4 3 2 3 3" xfId="5565" xr:uid="{00000000-0005-0000-0000-000086130000}"/>
    <cellStyle name="Normal 4 2 4 3 2 3 3 2" xfId="14007" xr:uid="{38099D7E-1AAB-43D2-81C2-6DF2183D5D8B}"/>
    <cellStyle name="Normal 4 2 4 3 2 3 4" xfId="9789" xr:uid="{93DC5CBA-DA48-45FC-A2B7-19558283F057}"/>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1EC77774-F854-4033-8D53-6807907A5E75}"/>
    <cellStyle name="Normal 4 2 4 3 2 4 2 3" xfId="12347" xr:uid="{4B05ABEA-910A-4865-9A65-AE0EC2D7DA3D}"/>
    <cellStyle name="Normal 4 2 4 3 2 4 3" xfId="5978" xr:uid="{00000000-0005-0000-0000-00008A130000}"/>
    <cellStyle name="Normal 4 2 4 3 2 4 3 2" xfId="14420" xr:uid="{1F5FC17D-A0D4-42BE-A566-7180D167D5FA}"/>
    <cellStyle name="Normal 4 2 4 3 2 4 4" xfId="10202" xr:uid="{9F5F896F-B167-4A3D-B2F0-A0625185A58B}"/>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8D7021BB-8C85-4E5A-8E2D-1B42BDA0AAC9}"/>
    <cellStyle name="Normal 4 2 4 3 2 5 2 3" xfId="12760" xr:uid="{2C956D40-5048-4176-A458-6EA09D7F76B1}"/>
    <cellStyle name="Normal 4 2 4 3 2 5 3" xfId="6391" xr:uid="{00000000-0005-0000-0000-00008E130000}"/>
    <cellStyle name="Normal 4 2 4 3 2 5 3 2" xfId="14833" xr:uid="{5CEE6E37-0DB2-4DCB-AFDF-03FF726F1268}"/>
    <cellStyle name="Normal 4 2 4 3 2 5 4" xfId="10615" xr:uid="{CB77C748-FC61-49B8-95FB-ABC7858A29C8}"/>
    <cellStyle name="Normal 4 2 4 3 2 6" xfId="2520" xr:uid="{00000000-0005-0000-0000-00008F130000}"/>
    <cellStyle name="Normal 4 2 4 3 2 6 2" xfId="6804" xr:uid="{00000000-0005-0000-0000-000090130000}"/>
    <cellStyle name="Normal 4 2 4 3 2 6 2 2" xfId="15246" xr:uid="{56987A87-1095-46B3-8048-4FAF829B387F}"/>
    <cellStyle name="Normal 4 2 4 3 2 6 3" xfId="11028" xr:uid="{04CC91EC-EE21-4657-B73C-D5F27ECD4134}"/>
    <cellStyle name="Normal 4 2 4 3 2 7" xfId="4739" xr:uid="{00000000-0005-0000-0000-000091130000}"/>
    <cellStyle name="Normal 4 2 4 3 2 7 2" xfId="13181" xr:uid="{0E8DA289-02FB-4562-8919-F17240FEAD2D}"/>
    <cellStyle name="Normal 4 2 4 3 2 8" xfId="8963" xr:uid="{B704AE64-3455-4928-9CB6-E1C8996931EA}"/>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D69043B9-2536-41C3-BFDC-8D03CF793BEF}"/>
    <cellStyle name="Normal 4 2 4 3 3 2 3" xfId="11520" xr:uid="{CF3B6E9F-29DD-47F4-AAF9-1A176AB84592}"/>
    <cellStyle name="Normal 4 2 4 3 3 3" xfId="5151" xr:uid="{00000000-0005-0000-0000-000095130000}"/>
    <cellStyle name="Normal 4 2 4 3 3 3 2" xfId="13593" xr:uid="{786D2301-2457-4257-B908-66AD13BBD274}"/>
    <cellStyle name="Normal 4 2 4 3 3 4" xfId="9375" xr:uid="{48EB57AA-27B3-46D8-B62F-D00CC292079D}"/>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E1224062-8D8D-42D5-A987-516F2B0DEADD}"/>
    <cellStyle name="Normal 4 2 4 3 4 2 3" xfId="11933" xr:uid="{84D0731F-3C86-40C0-B23D-C7F7CE6F8D5A}"/>
    <cellStyle name="Normal 4 2 4 3 4 3" xfId="5564" xr:uid="{00000000-0005-0000-0000-000099130000}"/>
    <cellStyle name="Normal 4 2 4 3 4 3 2" xfId="14006" xr:uid="{5DF1D34B-07A5-4D3D-B865-BD624DF0F9CA}"/>
    <cellStyle name="Normal 4 2 4 3 4 4" xfId="9788" xr:uid="{635E4A73-D17F-4EE8-81C0-FA8347B0F406}"/>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B607E1BB-B854-4355-911C-927F63386987}"/>
    <cellStyle name="Normal 4 2 4 3 5 2 3" xfId="12346" xr:uid="{55F86765-42B4-420E-A23F-A9890D5142DE}"/>
    <cellStyle name="Normal 4 2 4 3 5 3" xfId="5977" xr:uid="{00000000-0005-0000-0000-00009D130000}"/>
    <cellStyle name="Normal 4 2 4 3 5 3 2" xfId="14419" xr:uid="{CCC49B50-00C0-4DAA-AA78-E9EF88A27802}"/>
    <cellStyle name="Normal 4 2 4 3 5 4" xfId="10201" xr:uid="{BBB57E1B-1C65-4411-A743-3A12B89B1492}"/>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B1F88536-165E-43E3-9935-BD4E75506EE4}"/>
    <cellStyle name="Normal 4 2 4 3 6 2 3" xfId="12759" xr:uid="{108117F0-3937-4B47-ADCE-3D458833B5CE}"/>
    <cellStyle name="Normal 4 2 4 3 6 3" xfId="6390" xr:uid="{00000000-0005-0000-0000-0000A1130000}"/>
    <cellStyle name="Normal 4 2 4 3 6 3 2" xfId="14832" xr:uid="{5E7D4862-342A-4B17-B71E-95E455C39AA9}"/>
    <cellStyle name="Normal 4 2 4 3 6 4" xfId="10614" xr:uid="{A6502794-F321-45E3-B2E2-534D93D6F070}"/>
    <cellStyle name="Normal 4 2 4 3 7" xfId="2519" xr:uid="{00000000-0005-0000-0000-0000A2130000}"/>
    <cellStyle name="Normal 4 2 4 3 7 2" xfId="6803" xr:uid="{00000000-0005-0000-0000-0000A3130000}"/>
    <cellStyle name="Normal 4 2 4 3 7 2 2" xfId="15245" xr:uid="{FEF130AF-46FE-46C8-8068-ED68941C0428}"/>
    <cellStyle name="Normal 4 2 4 3 7 3" xfId="11027" xr:uid="{CC2D4F80-EBC1-4B2C-8C22-C7E74DD180FE}"/>
    <cellStyle name="Normal 4 2 4 3 8" xfId="4738" xr:uid="{00000000-0005-0000-0000-0000A4130000}"/>
    <cellStyle name="Normal 4 2 4 3 8 2" xfId="13180" xr:uid="{3F87CF7D-3A95-47D4-B68F-87CBE5A62EF3}"/>
    <cellStyle name="Normal 4 2 4 3 9" xfId="8962" xr:uid="{5E5890C2-EE23-4081-B652-5032BA17B94F}"/>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374451DD-841C-4EC7-A944-81DC678A214A}"/>
    <cellStyle name="Normal 4 2 4 4 2 2 3" xfId="11522" xr:uid="{7F9D5BF7-7BB3-4063-B9B4-CAFA296B0F2A}"/>
    <cellStyle name="Normal 4 2 4 4 2 3" xfId="5153" xr:uid="{00000000-0005-0000-0000-0000A9130000}"/>
    <cellStyle name="Normal 4 2 4 4 2 3 2" xfId="13595" xr:uid="{2E697DBB-74B1-4825-AF01-0E6E0851A105}"/>
    <cellStyle name="Normal 4 2 4 4 2 4" xfId="9377" xr:uid="{12CB9975-2E12-484E-AABA-075EA711C06C}"/>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03E4A636-52DF-43AE-BA13-B288B1FD6A97}"/>
    <cellStyle name="Normal 4 2 4 4 3 2 3" xfId="11935" xr:uid="{0E78EC41-904D-4C27-87C5-35ED8C65E76A}"/>
    <cellStyle name="Normal 4 2 4 4 3 3" xfId="5566" xr:uid="{00000000-0005-0000-0000-0000AD130000}"/>
    <cellStyle name="Normal 4 2 4 4 3 3 2" xfId="14008" xr:uid="{12AE68E1-DD50-491F-B614-1152611BE919}"/>
    <cellStyle name="Normal 4 2 4 4 3 4" xfId="9790" xr:uid="{EAE3F8EA-6162-4B41-92D3-8189F946C3D4}"/>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DCEB0D45-E385-4193-8372-F402CC2F51D9}"/>
    <cellStyle name="Normal 4 2 4 4 4 2 3" xfId="12348" xr:uid="{40DE691B-84C3-4B3C-A296-74A3C5E2E674}"/>
    <cellStyle name="Normal 4 2 4 4 4 3" xfId="5979" xr:uid="{00000000-0005-0000-0000-0000B1130000}"/>
    <cellStyle name="Normal 4 2 4 4 4 3 2" xfId="14421" xr:uid="{2FF62FE6-53CB-4BF2-B774-B7179AFFEAD8}"/>
    <cellStyle name="Normal 4 2 4 4 4 4" xfId="10203" xr:uid="{D8F15D91-2DF4-4FAC-A7A7-E15FC516F09F}"/>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142B2961-0345-4016-B6E6-7BE4B78AB6D6}"/>
    <cellStyle name="Normal 4 2 4 4 5 2 3" xfId="12761" xr:uid="{4D012126-C914-4361-825C-3FD8417B04BD}"/>
    <cellStyle name="Normal 4 2 4 4 5 3" xfId="6392" xr:uid="{00000000-0005-0000-0000-0000B5130000}"/>
    <cellStyle name="Normal 4 2 4 4 5 3 2" xfId="14834" xr:uid="{D5E8E072-10F3-42CA-B90C-6A4C483601D8}"/>
    <cellStyle name="Normal 4 2 4 4 5 4" xfId="10616" xr:uid="{EE7AE0EC-5582-4CC0-B8E3-5DE04E68241C}"/>
    <cellStyle name="Normal 4 2 4 4 6" xfId="2521" xr:uid="{00000000-0005-0000-0000-0000B6130000}"/>
    <cellStyle name="Normal 4 2 4 4 6 2" xfId="6805" xr:uid="{00000000-0005-0000-0000-0000B7130000}"/>
    <cellStyle name="Normal 4 2 4 4 6 2 2" xfId="15247" xr:uid="{EA9ACB66-C524-4C82-A037-2DAE52B959A8}"/>
    <cellStyle name="Normal 4 2 4 4 6 3" xfId="11029" xr:uid="{8413F95D-8867-4D1B-A275-AEDE1BE92CB3}"/>
    <cellStyle name="Normal 4 2 4 4 7" xfId="4740" xr:uid="{00000000-0005-0000-0000-0000B8130000}"/>
    <cellStyle name="Normal 4 2 4 4 7 2" xfId="13182" xr:uid="{5A774933-DDF0-4739-A01C-9997EA6A994A}"/>
    <cellStyle name="Normal 4 2 4 4 8" xfId="8964" xr:uid="{3D21288D-9637-43E8-A12C-61987B6F2CFC}"/>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BCC0FE55-A9C1-467B-A3D1-81DD468087D9}"/>
    <cellStyle name="Normal 4 2 4 5 2 3" xfId="11515" xr:uid="{EB4BF34F-3F87-4584-AA42-E38730120CAC}"/>
    <cellStyle name="Normal 4 2 4 5 3" xfId="5146" xr:uid="{00000000-0005-0000-0000-0000BC130000}"/>
    <cellStyle name="Normal 4 2 4 5 3 2" xfId="13588" xr:uid="{4B92F734-E2D3-4B81-89E0-53E9EE7F5CCA}"/>
    <cellStyle name="Normal 4 2 4 5 4" xfId="9370" xr:uid="{B50D1D9C-FDFB-4E1C-980E-B7D0E4A39E3D}"/>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E5CFB536-C23B-4887-964B-D2C6E34F9D96}"/>
    <cellStyle name="Normal 4 2 4 6 2 3" xfId="11928" xr:uid="{EFE04650-FBAB-4712-9CA6-73AED943D935}"/>
    <cellStyle name="Normal 4 2 4 6 3" xfId="5559" xr:uid="{00000000-0005-0000-0000-0000C0130000}"/>
    <cellStyle name="Normal 4 2 4 6 3 2" xfId="14001" xr:uid="{AA3A4611-23F2-450A-A9D8-A996EC9868CD}"/>
    <cellStyle name="Normal 4 2 4 6 4" xfId="9783" xr:uid="{11E8E09C-CF71-4DD2-85AF-90E15B623E75}"/>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2C465AB6-40C9-4E1A-A9B5-3A44C7B4EFB9}"/>
    <cellStyle name="Normal 4 2 4 7 2 3" xfId="12341" xr:uid="{021D0D81-9161-4D18-8E0F-C5DD2BE8C8FE}"/>
    <cellStyle name="Normal 4 2 4 7 3" xfId="5972" xr:uid="{00000000-0005-0000-0000-0000C4130000}"/>
    <cellStyle name="Normal 4 2 4 7 3 2" xfId="14414" xr:uid="{90285D68-6552-4FE8-8E7C-147370EB3610}"/>
    <cellStyle name="Normal 4 2 4 7 4" xfId="10196" xr:uid="{ED8D0B90-E62E-4416-ACE9-79A0B335C3A7}"/>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12B6F65E-9D32-4326-B7E3-C760F10F6B52}"/>
    <cellStyle name="Normal 4 2 4 8 2 3" xfId="12754" xr:uid="{F7439002-ADC5-4C83-B152-E4B1F3909550}"/>
    <cellStyle name="Normal 4 2 4 8 3" xfId="6385" xr:uid="{00000000-0005-0000-0000-0000C8130000}"/>
    <cellStyle name="Normal 4 2 4 8 3 2" xfId="14827" xr:uid="{79C024A9-4ADC-4662-8A04-D10ACA92440F}"/>
    <cellStyle name="Normal 4 2 4 8 4" xfId="10609" xr:uid="{E2F36C1C-A48E-4E4E-9CAF-BBBDF0B5ABEC}"/>
    <cellStyle name="Normal 4 2 4 9" xfId="2514" xr:uid="{00000000-0005-0000-0000-0000C9130000}"/>
    <cellStyle name="Normal 4 2 4 9 2" xfId="6798" xr:uid="{00000000-0005-0000-0000-0000CA130000}"/>
    <cellStyle name="Normal 4 2 4 9 2 2" xfId="15240" xr:uid="{E3821828-CFBD-4FD7-B0BC-4C6C555D3DDF}"/>
    <cellStyle name="Normal 4 2 4 9 3" xfId="11022" xr:uid="{3B41D729-235B-40FC-BB79-50E5F6ECD1CA}"/>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9D17E3FB-82A6-408A-8C83-DC0CC6255AB4}"/>
    <cellStyle name="Normal 4 2 5 2 2 2 3" xfId="11524" xr:uid="{117FA123-D822-4392-AE84-CCE6193C2C0E}"/>
    <cellStyle name="Normal 4 2 5 2 2 3" xfId="5155" xr:uid="{00000000-0005-0000-0000-0000D0130000}"/>
    <cellStyle name="Normal 4 2 5 2 2 3 2" xfId="13597" xr:uid="{CA710852-1512-4E15-B82E-C347CC85464C}"/>
    <cellStyle name="Normal 4 2 5 2 2 4" xfId="9379" xr:uid="{31DFF8FB-2B66-4954-B216-10598432DBED}"/>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5E338BE4-48A2-4F65-A846-7038D0E4E414}"/>
    <cellStyle name="Normal 4 2 5 2 3 2 3" xfId="11937" xr:uid="{FAC4FE6B-FC04-4FFD-9339-FB77BDE117BF}"/>
    <cellStyle name="Normal 4 2 5 2 3 3" xfId="5568" xr:uid="{00000000-0005-0000-0000-0000D4130000}"/>
    <cellStyle name="Normal 4 2 5 2 3 3 2" xfId="14010" xr:uid="{E71B10B7-411E-49F4-BFC4-81E78C615125}"/>
    <cellStyle name="Normal 4 2 5 2 3 4" xfId="9792" xr:uid="{A3D8A85D-001D-42DA-9103-DA474D868309}"/>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17F6EC47-B6C5-4765-A639-B6812D0AA5EF}"/>
    <cellStyle name="Normal 4 2 5 2 4 2 3" xfId="12350" xr:uid="{636ACED5-5EE8-4F05-8C9D-B9F7C65982E5}"/>
    <cellStyle name="Normal 4 2 5 2 4 3" xfId="5981" xr:uid="{00000000-0005-0000-0000-0000D8130000}"/>
    <cellStyle name="Normal 4 2 5 2 4 3 2" xfId="14423" xr:uid="{03BC839E-5732-4155-B1CA-BD9608F00077}"/>
    <cellStyle name="Normal 4 2 5 2 4 4" xfId="10205" xr:uid="{841C6987-B7C0-46FD-A6B0-4B5EA7153E6A}"/>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5388E993-A1F7-417D-BDFC-B74B60F07EAB}"/>
    <cellStyle name="Normal 4 2 5 2 5 2 3" xfId="12763" xr:uid="{865D2339-BE14-4D28-A036-C5B205813FA5}"/>
    <cellStyle name="Normal 4 2 5 2 5 3" xfId="6394" xr:uid="{00000000-0005-0000-0000-0000DC130000}"/>
    <cellStyle name="Normal 4 2 5 2 5 3 2" xfId="14836" xr:uid="{B6E95BCE-01CF-4259-868F-8DBA2E7FA585}"/>
    <cellStyle name="Normal 4 2 5 2 5 4" xfId="10618" xr:uid="{3402AB91-4A0A-4D1E-B012-6395161171FA}"/>
    <cellStyle name="Normal 4 2 5 2 6" xfId="2523" xr:uid="{00000000-0005-0000-0000-0000DD130000}"/>
    <cellStyle name="Normal 4 2 5 2 6 2" xfId="6807" xr:uid="{00000000-0005-0000-0000-0000DE130000}"/>
    <cellStyle name="Normal 4 2 5 2 6 2 2" xfId="15249" xr:uid="{C52CC64B-384C-498F-B8B2-A5B88BDAEED4}"/>
    <cellStyle name="Normal 4 2 5 2 6 3" xfId="11031" xr:uid="{8CA7DB26-0C25-4C54-AF21-287DEE68C3DB}"/>
    <cellStyle name="Normal 4 2 5 2 7" xfId="4742" xr:uid="{00000000-0005-0000-0000-0000DF130000}"/>
    <cellStyle name="Normal 4 2 5 2 7 2" xfId="13184" xr:uid="{02408DEB-7BB2-414E-9914-144EC1CEA787}"/>
    <cellStyle name="Normal 4 2 5 2 8" xfId="8966" xr:uid="{1BD076E7-7DD8-4F99-92A9-8F2918696EFF}"/>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5D945923-82AE-428B-BB38-068CB9F6289A}"/>
    <cellStyle name="Normal 4 2 5 3 2 3" xfId="11523" xr:uid="{42BD848A-1C2C-4391-8D11-675B3F8D9D6B}"/>
    <cellStyle name="Normal 4 2 5 3 3" xfId="5154" xr:uid="{00000000-0005-0000-0000-0000E3130000}"/>
    <cellStyle name="Normal 4 2 5 3 3 2" xfId="13596" xr:uid="{8BD999BB-B7D6-4CC9-A9F9-0BC695ECB6F8}"/>
    <cellStyle name="Normal 4 2 5 3 4" xfId="9378" xr:uid="{A76D445D-B3C2-48BE-8358-459AC80578DA}"/>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02410485-2D11-47AF-864D-41C7AB480EA5}"/>
    <cellStyle name="Normal 4 2 5 4 2 3" xfId="11936" xr:uid="{7D4CAB14-9402-4F01-ACB5-D6FA5808BEC5}"/>
    <cellStyle name="Normal 4 2 5 4 3" xfId="5567" xr:uid="{00000000-0005-0000-0000-0000E7130000}"/>
    <cellStyle name="Normal 4 2 5 4 3 2" xfId="14009" xr:uid="{43F9316D-9661-4023-AE67-CAFC1A01D475}"/>
    <cellStyle name="Normal 4 2 5 4 4" xfId="9791" xr:uid="{6CCF6064-63CC-4AD7-8FD4-664289C8382F}"/>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A3BDF180-FD31-4803-A90B-F6A1C8F2FD17}"/>
    <cellStyle name="Normal 4 2 5 5 2 3" xfId="12349" xr:uid="{11629D63-D88D-42B6-86E3-EE201EADC409}"/>
    <cellStyle name="Normal 4 2 5 5 3" xfId="5980" xr:uid="{00000000-0005-0000-0000-0000EB130000}"/>
    <cellStyle name="Normal 4 2 5 5 3 2" xfId="14422" xr:uid="{75E00D3D-2A40-417A-AAF2-A6D9049708FE}"/>
    <cellStyle name="Normal 4 2 5 5 4" xfId="10204" xr:uid="{0B0833C6-4379-4D05-AFD8-C2A1BE69AB87}"/>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4E631E6A-3ABD-40EC-8985-CDB4582C5573}"/>
    <cellStyle name="Normal 4 2 5 6 2 3" xfId="12762" xr:uid="{A3072B38-A007-413D-93F6-F18D655A5964}"/>
    <cellStyle name="Normal 4 2 5 6 3" xfId="6393" xr:uid="{00000000-0005-0000-0000-0000EF130000}"/>
    <cellStyle name="Normal 4 2 5 6 3 2" xfId="14835" xr:uid="{901D33DD-C9B3-452F-A120-8DDBC23D52FC}"/>
    <cellStyle name="Normal 4 2 5 6 4" xfId="10617" xr:uid="{38122ED5-A779-43B6-B31D-4F0D20CE654B}"/>
    <cellStyle name="Normal 4 2 5 7" xfId="2522" xr:uid="{00000000-0005-0000-0000-0000F0130000}"/>
    <cellStyle name="Normal 4 2 5 7 2" xfId="6806" xr:uid="{00000000-0005-0000-0000-0000F1130000}"/>
    <cellStyle name="Normal 4 2 5 7 2 2" xfId="15248" xr:uid="{79823733-ACFE-4C14-8DD0-C712F1B50468}"/>
    <cellStyle name="Normal 4 2 5 7 3" xfId="11030" xr:uid="{C46ABA34-0969-4C00-8FEC-2B532EC2AA5D}"/>
    <cellStyle name="Normal 4 2 5 8" xfId="4741" xr:uid="{00000000-0005-0000-0000-0000F2130000}"/>
    <cellStyle name="Normal 4 2 5 8 2" xfId="13183" xr:uid="{A19D9A3E-E2B1-42FB-B27A-935BBD1551A3}"/>
    <cellStyle name="Normal 4 2 5 9" xfId="8965" xr:uid="{B6E92437-75B8-4B40-AF17-1D6ACBC4F736}"/>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3C2F4E9A-5794-4E9B-AAC5-1A3E97100F42}"/>
    <cellStyle name="Normal 4 2 6 2 2 3" xfId="11525" xr:uid="{A8EA842D-2992-4AD1-B77E-BBD4681D6CDE}"/>
    <cellStyle name="Normal 4 2 6 2 3" xfId="5156" xr:uid="{00000000-0005-0000-0000-0000F7130000}"/>
    <cellStyle name="Normal 4 2 6 2 3 2" xfId="13598" xr:uid="{F6EA86D2-6E06-4F79-AC7E-E977EBC8DC7D}"/>
    <cellStyle name="Normal 4 2 6 2 4" xfId="9380" xr:uid="{2904E6BA-F453-4729-8A27-2162ED442CBB}"/>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6DE2DF2A-AE01-46A1-AB78-2A83885690D1}"/>
    <cellStyle name="Normal 4 2 6 3 2 3" xfId="11938" xr:uid="{41968E53-AEF0-4EBC-92A7-71F3C6CCB00A}"/>
    <cellStyle name="Normal 4 2 6 3 3" xfId="5569" xr:uid="{00000000-0005-0000-0000-0000FB130000}"/>
    <cellStyle name="Normal 4 2 6 3 3 2" xfId="14011" xr:uid="{12643940-1EA3-4851-83EB-827BFE04F0BD}"/>
    <cellStyle name="Normal 4 2 6 3 4" xfId="9793" xr:uid="{23FCAA9C-BAD1-472D-8A12-74904FC0ECEC}"/>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85FA454B-A8D5-4C08-B62A-3CFC07490537}"/>
    <cellStyle name="Normal 4 2 6 4 2 3" xfId="12351" xr:uid="{6805670D-2495-4471-BE6F-CFCE2F39985F}"/>
    <cellStyle name="Normal 4 2 6 4 3" xfId="5982" xr:uid="{00000000-0005-0000-0000-0000FF130000}"/>
    <cellStyle name="Normal 4 2 6 4 3 2" xfId="14424" xr:uid="{4D68EC5F-145B-45FC-B480-E157BB84CEC4}"/>
    <cellStyle name="Normal 4 2 6 4 4" xfId="10206" xr:uid="{BD5923FC-4EA0-482E-BB84-DEC7C2064B98}"/>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44C7540F-DD7B-445D-9A5B-E6647A98D869}"/>
    <cellStyle name="Normal 4 2 6 5 2 3" xfId="12764" xr:uid="{3A8BC3F2-130E-4819-BF89-DEDA6363DF98}"/>
    <cellStyle name="Normal 4 2 6 5 3" xfId="6395" xr:uid="{00000000-0005-0000-0000-000003140000}"/>
    <cellStyle name="Normal 4 2 6 5 3 2" xfId="14837" xr:uid="{D97B49B8-1747-4363-B378-18CDB390819C}"/>
    <cellStyle name="Normal 4 2 6 5 4" xfId="10619" xr:uid="{46651AE1-C9F3-402E-9195-6A94CCF7C757}"/>
    <cellStyle name="Normal 4 2 6 6" xfId="2524" xr:uid="{00000000-0005-0000-0000-000004140000}"/>
    <cellStyle name="Normal 4 2 6 6 2" xfId="6808" xr:uid="{00000000-0005-0000-0000-000005140000}"/>
    <cellStyle name="Normal 4 2 6 6 2 2" xfId="15250" xr:uid="{73D26CBF-1779-4755-B07D-FDD825743D5A}"/>
    <cellStyle name="Normal 4 2 6 6 3" xfId="11032" xr:uid="{96AD1EEE-25BC-4BD8-AEF5-54C0BA329165}"/>
    <cellStyle name="Normal 4 2 6 7" xfId="4743" xr:uid="{00000000-0005-0000-0000-000006140000}"/>
    <cellStyle name="Normal 4 2 6 7 2" xfId="13185" xr:uid="{D18BBC63-3715-43C2-B9C7-F8AD63F37139}"/>
    <cellStyle name="Normal 4 2 6 8" xfId="8967" xr:uid="{6706FAE4-F89C-4CA5-95D8-59428A88C8A8}"/>
    <cellStyle name="Normal 4 3" xfId="366" xr:uid="{00000000-0005-0000-0000-000007140000}"/>
    <cellStyle name="Normal 4 3 10" xfId="8968" xr:uid="{08E16FBF-2038-45AB-9632-E9B1EF9A1916}"/>
    <cellStyle name="Normal 4 3 2" xfId="367" xr:uid="{00000000-0005-0000-0000-000008140000}"/>
    <cellStyle name="Normal 4 3 2 2" xfId="368" xr:uid="{00000000-0005-0000-0000-000009140000}"/>
    <cellStyle name="Normal 4 3 2 2 2" xfId="369" xr:uid="{00000000-0005-0000-0000-00000A140000}"/>
    <cellStyle name="Normal 4 3 2 2 2 10" xfId="8969" xr:uid="{B65BB390-CBFC-4DC4-96BB-07E5B77A6F2A}"/>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043040F9-C3F7-47FB-9D7A-853BF633DDDD}"/>
    <cellStyle name="Normal 4 3 2 2 2 2 2 2 2 3" xfId="11529" xr:uid="{2B810787-1787-437A-AF31-AE5BE150B8B7}"/>
    <cellStyle name="Normal 4 3 2 2 2 2 2 2 3" xfId="5160" xr:uid="{00000000-0005-0000-0000-000010140000}"/>
    <cellStyle name="Normal 4 3 2 2 2 2 2 2 3 2" xfId="13602" xr:uid="{EC7FEE9A-9692-4ABF-9B21-CE056CA75126}"/>
    <cellStyle name="Normal 4 3 2 2 2 2 2 2 4" xfId="9384" xr:uid="{C03ABC22-9790-466A-93B2-BA71F7701588}"/>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6708A9BD-C86B-427D-B007-AA68174AE88F}"/>
    <cellStyle name="Normal 4 3 2 2 2 2 2 3 2 3" xfId="11942" xr:uid="{8023C39C-B4CC-4B72-A143-584175C8CAE3}"/>
    <cellStyle name="Normal 4 3 2 2 2 2 2 3 3" xfId="5573" xr:uid="{00000000-0005-0000-0000-000014140000}"/>
    <cellStyle name="Normal 4 3 2 2 2 2 2 3 3 2" xfId="14015" xr:uid="{7CC922C0-BD9C-4A0A-ABE2-482922BDFB96}"/>
    <cellStyle name="Normal 4 3 2 2 2 2 2 3 4" xfId="9797" xr:uid="{50FF4CAD-4F76-456D-9664-6A7772870059}"/>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D495CCE9-34C5-41C1-8EC2-40A5BE8A8F70}"/>
    <cellStyle name="Normal 4 3 2 2 2 2 2 4 2 3" xfId="12355" xr:uid="{29907042-FBC3-40A7-BD57-1C007C65C7F9}"/>
    <cellStyle name="Normal 4 3 2 2 2 2 2 4 3" xfId="5986" xr:uid="{00000000-0005-0000-0000-000018140000}"/>
    <cellStyle name="Normal 4 3 2 2 2 2 2 4 3 2" xfId="14428" xr:uid="{B79A989D-C564-465D-8E6B-3DB5E17D7B4F}"/>
    <cellStyle name="Normal 4 3 2 2 2 2 2 4 4" xfId="10210" xr:uid="{9C44CC17-801A-47E7-8A46-74F62B0C27AE}"/>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CCDD8809-742D-4D28-B976-2224814A6A7B}"/>
    <cellStyle name="Normal 4 3 2 2 2 2 2 5 2 3" xfId="12768" xr:uid="{3EA07409-831F-4C16-B267-AE69AEF96906}"/>
    <cellStyle name="Normal 4 3 2 2 2 2 2 5 3" xfId="6399" xr:uid="{00000000-0005-0000-0000-00001C140000}"/>
    <cellStyle name="Normal 4 3 2 2 2 2 2 5 3 2" xfId="14841" xr:uid="{41CE7742-77E7-4B22-ABE5-861380DC8302}"/>
    <cellStyle name="Normal 4 3 2 2 2 2 2 5 4" xfId="10623" xr:uid="{5BBA66F9-D2CA-4C0E-A72D-E035FA8D687A}"/>
    <cellStyle name="Normal 4 3 2 2 2 2 2 6" xfId="2528" xr:uid="{00000000-0005-0000-0000-00001D140000}"/>
    <cellStyle name="Normal 4 3 2 2 2 2 2 6 2" xfId="6812" xr:uid="{00000000-0005-0000-0000-00001E140000}"/>
    <cellStyle name="Normal 4 3 2 2 2 2 2 6 2 2" xfId="15254" xr:uid="{5A666BDC-2363-491E-BC8C-DBC959B547EC}"/>
    <cellStyle name="Normal 4 3 2 2 2 2 2 6 3" xfId="11036" xr:uid="{F88D3EDE-0B5F-4900-A103-A882DD3973ED}"/>
    <cellStyle name="Normal 4 3 2 2 2 2 2 7" xfId="4747" xr:uid="{00000000-0005-0000-0000-00001F140000}"/>
    <cellStyle name="Normal 4 3 2 2 2 2 2 7 2" xfId="13189" xr:uid="{E6567495-FAA5-4E01-855C-19C397EBF78A}"/>
    <cellStyle name="Normal 4 3 2 2 2 2 2 8" xfId="8971" xr:uid="{9E18DF07-6D92-458E-A9C6-FCBB89624343}"/>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0699DC0B-373D-4EF8-9E83-494E0C58B515}"/>
    <cellStyle name="Normal 4 3 2 2 2 2 3 2 3" xfId="11528" xr:uid="{2A4A6611-2355-4F65-B868-862B0B95C37F}"/>
    <cellStyle name="Normal 4 3 2 2 2 2 3 3" xfId="5159" xr:uid="{00000000-0005-0000-0000-000023140000}"/>
    <cellStyle name="Normal 4 3 2 2 2 2 3 3 2" xfId="13601" xr:uid="{BA6DD66D-2BC3-49F3-A25A-ABC387E08698}"/>
    <cellStyle name="Normal 4 3 2 2 2 2 3 4" xfId="9383" xr:uid="{66BCE99E-9D6E-478A-A74F-0D47C6A634AB}"/>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B9507E72-B0EF-4AA5-A45F-EE0594030AFD}"/>
    <cellStyle name="Normal 4 3 2 2 2 2 4 2 3" xfId="11941" xr:uid="{634816B0-261D-4839-A132-D714CEF65787}"/>
    <cellStyle name="Normal 4 3 2 2 2 2 4 3" xfId="5572" xr:uid="{00000000-0005-0000-0000-000027140000}"/>
    <cellStyle name="Normal 4 3 2 2 2 2 4 3 2" xfId="14014" xr:uid="{4B13A3BE-4AA9-4544-AC79-7620E21CA15C}"/>
    <cellStyle name="Normal 4 3 2 2 2 2 4 4" xfId="9796" xr:uid="{5EE29393-99C2-4F77-95F7-FC2B5D995899}"/>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1D740C6E-0E59-43EC-9672-712F3A784349}"/>
    <cellStyle name="Normal 4 3 2 2 2 2 5 2 3" xfId="12354" xr:uid="{5FEC77C3-78E4-4A41-80D5-967CBC8BF118}"/>
    <cellStyle name="Normal 4 3 2 2 2 2 5 3" xfId="5985" xr:uid="{00000000-0005-0000-0000-00002B140000}"/>
    <cellStyle name="Normal 4 3 2 2 2 2 5 3 2" xfId="14427" xr:uid="{D6711669-D520-41C1-A413-1B6FB92AECBA}"/>
    <cellStyle name="Normal 4 3 2 2 2 2 5 4" xfId="10209" xr:uid="{4826CCF1-E28A-42CE-846C-50BF1742725D}"/>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940D9C0F-396B-438A-8D28-A57512B8CFAB}"/>
    <cellStyle name="Normal 4 3 2 2 2 2 6 2 3" xfId="12767" xr:uid="{34CF395E-AD2D-480A-ABA4-86ED579E7D6C}"/>
    <cellStyle name="Normal 4 3 2 2 2 2 6 3" xfId="6398" xr:uid="{00000000-0005-0000-0000-00002F140000}"/>
    <cellStyle name="Normal 4 3 2 2 2 2 6 3 2" xfId="14840" xr:uid="{C766B21A-196F-48C2-BB73-76945CA0DDCE}"/>
    <cellStyle name="Normal 4 3 2 2 2 2 6 4" xfId="10622" xr:uid="{FF7B1940-BA6B-4E3D-8D67-88695AE67814}"/>
    <cellStyle name="Normal 4 3 2 2 2 2 7" xfId="2527" xr:uid="{00000000-0005-0000-0000-000030140000}"/>
    <cellStyle name="Normal 4 3 2 2 2 2 7 2" xfId="6811" xr:uid="{00000000-0005-0000-0000-000031140000}"/>
    <cellStyle name="Normal 4 3 2 2 2 2 7 2 2" xfId="15253" xr:uid="{61E93D62-D645-46E8-8CD6-6F74DCDBBB73}"/>
    <cellStyle name="Normal 4 3 2 2 2 2 7 3" xfId="11035" xr:uid="{661E2E41-8DCB-48E7-8032-34CAFC382A7D}"/>
    <cellStyle name="Normal 4 3 2 2 2 2 8" xfId="4746" xr:uid="{00000000-0005-0000-0000-000032140000}"/>
    <cellStyle name="Normal 4 3 2 2 2 2 8 2" xfId="13188" xr:uid="{246AF5C8-79AA-41E5-AC7A-A3B156419864}"/>
    <cellStyle name="Normal 4 3 2 2 2 2 9" xfId="8970" xr:uid="{2C55745A-A608-4ED7-8FB9-0046492CB38B}"/>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B794C94B-07F3-42DD-8106-61D81E5B3A41}"/>
    <cellStyle name="Normal 4 3 2 2 2 3 2 2 3" xfId="11530" xr:uid="{8D66A4E7-9BB2-481F-8FCA-6F598C3D9C40}"/>
    <cellStyle name="Normal 4 3 2 2 2 3 2 3" xfId="5161" xr:uid="{00000000-0005-0000-0000-000037140000}"/>
    <cellStyle name="Normal 4 3 2 2 2 3 2 3 2" xfId="13603" xr:uid="{6965C580-FA55-42D9-B3AC-C359BA4A795B}"/>
    <cellStyle name="Normal 4 3 2 2 2 3 2 4" xfId="9385" xr:uid="{27617B28-9944-4FE2-943C-8CDFEECA1C13}"/>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13771AD1-C8FC-4E4A-995B-B8016EE0703F}"/>
    <cellStyle name="Normal 4 3 2 2 2 3 3 2 3" xfId="11943" xr:uid="{781030AF-A8E9-4B64-B9F0-B1028EADABBB}"/>
    <cellStyle name="Normal 4 3 2 2 2 3 3 3" xfId="5574" xr:uid="{00000000-0005-0000-0000-00003B140000}"/>
    <cellStyle name="Normal 4 3 2 2 2 3 3 3 2" xfId="14016" xr:uid="{D0C7609D-936B-4AD0-A936-416B0B2E20EA}"/>
    <cellStyle name="Normal 4 3 2 2 2 3 3 4" xfId="9798" xr:uid="{477DA7CC-9D2D-4057-8B0D-4E4BA002A8FB}"/>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F44B3AB1-EF8B-4B6D-B4D9-0B9778370C19}"/>
    <cellStyle name="Normal 4 3 2 2 2 3 4 2 3" xfId="12356" xr:uid="{2FFE9B78-E662-4FCA-B6FC-F47DF2B4744D}"/>
    <cellStyle name="Normal 4 3 2 2 2 3 4 3" xfId="5987" xr:uid="{00000000-0005-0000-0000-00003F140000}"/>
    <cellStyle name="Normal 4 3 2 2 2 3 4 3 2" xfId="14429" xr:uid="{DFC93246-729F-4640-B2FB-7692255F7E07}"/>
    <cellStyle name="Normal 4 3 2 2 2 3 4 4" xfId="10211" xr:uid="{54BA3445-3010-4C1D-9E5B-BD018C01CE01}"/>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306B8085-F3D3-49C5-B80D-EAB36DC21D6C}"/>
    <cellStyle name="Normal 4 3 2 2 2 3 5 2 3" xfId="12769" xr:uid="{201D4C7C-05EE-44C1-920C-3E915512E7EF}"/>
    <cellStyle name="Normal 4 3 2 2 2 3 5 3" xfId="6400" xr:uid="{00000000-0005-0000-0000-000043140000}"/>
    <cellStyle name="Normal 4 3 2 2 2 3 5 3 2" xfId="14842" xr:uid="{E3C81D9A-05B2-493F-B0F6-CC027811D996}"/>
    <cellStyle name="Normal 4 3 2 2 2 3 5 4" xfId="10624" xr:uid="{45E27F8C-4BF1-4E7B-B452-9FA945AEF863}"/>
    <cellStyle name="Normal 4 3 2 2 2 3 6" xfId="2529" xr:uid="{00000000-0005-0000-0000-000044140000}"/>
    <cellStyle name="Normal 4 3 2 2 2 3 6 2" xfId="6813" xr:uid="{00000000-0005-0000-0000-000045140000}"/>
    <cellStyle name="Normal 4 3 2 2 2 3 6 2 2" xfId="15255" xr:uid="{D34CAC8D-6EC9-4926-B690-6DF81B62BD48}"/>
    <cellStyle name="Normal 4 3 2 2 2 3 6 3" xfId="11037" xr:uid="{6ECABF64-495B-4FC9-90C7-F719EF1E6351}"/>
    <cellStyle name="Normal 4 3 2 2 2 3 7" xfId="4748" xr:uid="{00000000-0005-0000-0000-000046140000}"/>
    <cellStyle name="Normal 4 3 2 2 2 3 7 2" xfId="13190" xr:uid="{80FCA800-86E9-4B0A-A26A-3F572079DDBF}"/>
    <cellStyle name="Normal 4 3 2 2 2 3 8" xfId="8972" xr:uid="{882E355F-6E20-40D0-87FA-E5D5B2DA7C5F}"/>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FCACF663-BF1F-47A1-9259-960529092B05}"/>
    <cellStyle name="Normal 4 3 2 2 2 4 2 3" xfId="11527" xr:uid="{3F5F22B5-52D1-42A8-984C-DAA85C98CD1D}"/>
    <cellStyle name="Normal 4 3 2 2 2 4 3" xfId="5158" xr:uid="{00000000-0005-0000-0000-00004A140000}"/>
    <cellStyle name="Normal 4 3 2 2 2 4 3 2" xfId="13600" xr:uid="{8BF8C1E1-B7A8-4302-8345-3EF8CB314230}"/>
    <cellStyle name="Normal 4 3 2 2 2 4 4" xfId="9382" xr:uid="{F128830D-3AA7-4E5D-B899-E31967B76316}"/>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BBF82388-7C87-4D34-A716-285E371FCE90}"/>
    <cellStyle name="Normal 4 3 2 2 2 5 2 3" xfId="11940" xr:uid="{E4A99F31-EA04-46D5-85AF-9EEC5D706D37}"/>
    <cellStyle name="Normal 4 3 2 2 2 5 3" xfId="5571" xr:uid="{00000000-0005-0000-0000-00004E140000}"/>
    <cellStyle name="Normal 4 3 2 2 2 5 3 2" xfId="14013" xr:uid="{13F71FCA-A1C4-4937-8C77-EC28E178321B}"/>
    <cellStyle name="Normal 4 3 2 2 2 5 4" xfId="9795" xr:uid="{CA62A34A-0983-4367-A67C-D523ABCFDF94}"/>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D825FD49-824E-439C-B242-0ECB89A994AC}"/>
    <cellStyle name="Normal 4 3 2 2 2 6 2 3" xfId="12353" xr:uid="{F75D016C-D91B-4CF5-80A4-39FEFF22FEAE}"/>
    <cellStyle name="Normal 4 3 2 2 2 6 3" xfId="5984" xr:uid="{00000000-0005-0000-0000-000052140000}"/>
    <cellStyle name="Normal 4 3 2 2 2 6 3 2" xfId="14426" xr:uid="{24DF3898-8F0D-4A1D-A9EE-458C96C16FEA}"/>
    <cellStyle name="Normal 4 3 2 2 2 6 4" xfId="10208" xr:uid="{D0D83D36-AB65-4F4B-8955-7362EE14BA3C}"/>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DAB02FDA-8BD7-4CBB-9221-A843A1E55973}"/>
    <cellStyle name="Normal 4 3 2 2 2 7 2 3" xfId="12766" xr:uid="{479C28F7-92D7-43BE-AC45-86BDE99892E7}"/>
    <cellStyle name="Normal 4 3 2 2 2 7 3" xfId="6397" xr:uid="{00000000-0005-0000-0000-000056140000}"/>
    <cellStyle name="Normal 4 3 2 2 2 7 3 2" xfId="14839" xr:uid="{A7454CF9-5319-4F29-A778-0F2632DE38C4}"/>
    <cellStyle name="Normal 4 3 2 2 2 7 4" xfId="10621" xr:uid="{5ADF2947-AD14-4695-A1ED-834EC29179CE}"/>
    <cellStyle name="Normal 4 3 2 2 2 8" xfId="2526" xr:uid="{00000000-0005-0000-0000-000057140000}"/>
    <cellStyle name="Normal 4 3 2 2 2 8 2" xfId="6810" xr:uid="{00000000-0005-0000-0000-000058140000}"/>
    <cellStyle name="Normal 4 3 2 2 2 8 2 2" xfId="15252" xr:uid="{BDA79C55-CBA2-47AA-896D-56111C495CD9}"/>
    <cellStyle name="Normal 4 3 2 2 2 8 3" xfId="11034" xr:uid="{E1E48296-813D-4A51-9F25-87167857B3C0}"/>
    <cellStyle name="Normal 4 3 2 2 2 9" xfId="4745" xr:uid="{00000000-0005-0000-0000-000059140000}"/>
    <cellStyle name="Normal 4 3 2 2 2 9 2" xfId="13187" xr:uid="{BAABB468-5D9D-48C8-83AD-06453A289541}"/>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DF4D76D0-020C-4146-9DE4-DE4DE8D0D98C}"/>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B4B1EF9F-A144-4829-9A61-00ED36D3F41F}"/>
    <cellStyle name="Normal 4 3 3 2 2 2 2 3" xfId="11533" xr:uid="{063A4E89-43A7-44EB-99C7-BFF7DFCF8AA7}"/>
    <cellStyle name="Normal 4 3 3 2 2 2 3" xfId="5164" xr:uid="{00000000-0005-0000-0000-000063140000}"/>
    <cellStyle name="Normal 4 3 3 2 2 2 3 2" xfId="13606" xr:uid="{2DCE3EAA-D1AE-4C41-B16C-1D7E55FEC448}"/>
    <cellStyle name="Normal 4 3 3 2 2 2 4" xfId="9388" xr:uid="{C5033663-DAD5-4A5D-854B-19DA1B279D7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D74EBD77-FB01-4C4B-9BF1-5B0822E00D64}"/>
    <cellStyle name="Normal 4 3 3 2 2 3 2 3" xfId="11946" xr:uid="{84B5F51A-B7E6-4E97-97A5-936C6BEF0650}"/>
    <cellStyle name="Normal 4 3 3 2 2 3 3" xfId="5577" xr:uid="{00000000-0005-0000-0000-000067140000}"/>
    <cellStyle name="Normal 4 3 3 2 2 3 3 2" xfId="14019" xr:uid="{4B1B4E42-781E-4E71-B81F-4AFD972569C2}"/>
    <cellStyle name="Normal 4 3 3 2 2 3 4" xfId="9801" xr:uid="{D537FA4F-0472-4A27-AEEA-FA19A156C552}"/>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9069C03F-512F-4E42-95BC-A20F3B807D44}"/>
    <cellStyle name="Normal 4 3 3 2 2 4 2 3" xfId="12359" xr:uid="{ADEBEF86-EA92-4859-842F-52482F497F3F}"/>
    <cellStyle name="Normal 4 3 3 2 2 4 3" xfId="5990" xr:uid="{00000000-0005-0000-0000-00006B140000}"/>
    <cellStyle name="Normal 4 3 3 2 2 4 3 2" xfId="14432" xr:uid="{3FA32363-F2E5-47A9-9C70-97D1FB459C9B}"/>
    <cellStyle name="Normal 4 3 3 2 2 4 4" xfId="10214" xr:uid="{7C98A750-AF7C-4107-A4E5-B8BAC0EE9194}"/>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35BCB4F1-E4D1-4787-82CF-F8A93EF162EE}"/>
    <cellStyle name="Normal 4 3 3 2 2 5 2 3" xfId="12772" xr:uid="{49D093AD-051D-4353-B1DF-0A74889D1FF6}"/>
    <cellStyle name="Normal 4 3 3 2 2 5 3" xfId="6403" xr:uid="{00000000-0005-0000-0000-00006F140000}"/>
    <cellStyle name="Normal 4 3 3 2 2 5 3 2" xfId="14845" xr:uid="{38C650A7-E757-4F43-8E6A-3FAF357A32CF}"/>
    <cellStyle name="Normal 4 3 3 2 2 5 4" xfId="10627" xr:uid="{9AF84E33-9CF0-40CB-B5A4-63075574FA00}"/>
    <cellStyle name="Normal 4 3 3 2 2 6" xfId="2532" xr:uid="{00000000-0005-0000-0000-000070140000}"/>
    <cellStyle name="Normal 4 3 3 2 2 6 2" xfId="6816" xr:uid="{00000000-0005-0000-0000-000071140000}"/>
    <cellStyle name="Normal 4 3 3 2 2 6 2 2" xfId="15258" xr:uid="{2527AE02-16C3-479F-B385-807876F7EE79}"/>
    <cellStyle name="Normal 4 3 3 2 2 6 3" xfId="11040" xr:uid="{1102F0F4-7120-45E8-BF12-A6AE892F7562}"/>
    <cellStyle name="Normal 4 3 3 2 2 7" xfId="4751" xr:uid="{00000000-0005-0000-0000-000072140000}"/>
    <cellStyle name="Normal 4 3 3 2 2 7 2" xfId="13193" xr:uid="{DE5FE14C-74D2-4E89-B6AC-6124B8394091}"/>
    <cellStyle name="Normal 4 3 3 2 2 8" xfId="8975" xr:uid="{C282A368-BA85-4816-905F-99AB6E79214C}"/>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81C05F17-CDA4-4B09-8C9C-26BF21C86820}"/>
    <cellStyle name="Normal 4 3 3 2 3 2 3" xfId="11532" xr:uid="{B3AF5760-10B1-4FC2-817C-02B8FA9E093B}"/>
    <cellStyle name="Normal 4 3 3 2 3 3" xfId="5163" xr:uid="{00000000-0005-0000-0000-000076140000}"/>
    <cellStyle name="Normal 4 3 3 2 3 3 2" xfId="13605" xr:uid="{935389F6-C888-484C-892D-E4248AE93B7A}"/>
    <cellStyle name="Normal 4 3 3 2 3 4" xfId="9387" xr:uid="{9061526C-E6B9-4040-937D-C3740C134F26}"/>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1A65D8B0-1551-40E9-B065-976577E66B46}"/>
    <cellStyle name="Normal 4 3 3 2 4 2 3" xfId="11945" xr:uid="{E96662FA-F3FD-494C-A5D1-9EE1B6C81897}"/>
    <cellStyle name="Normal 4 3 3 2 4 3" xfId="5576" xr:uid="{00000000-0005-0000-0000-00007A140000}"/>
    <cellStyle name="Normal 4 3 3 2 4 3 2" xfId="14018" xr:uid="{E8DDFA3C-1C83-47FB-99EC-F97EE3483FC3}"/>
    <cellStyle name="Normal 4 3 3 2 4 4" xfId="9800" xr:uid="{98A4B4ED-7446-4B23-B611-78F4B5CE31DF}"/>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380992CC-DD20-4426-ABEB-23B518F2605B}"/>
    <cellStyle name="Normal 4 3 3 2 5 2 3" xfId="12358" xr:uid="{96C0EBE2-63FD-4390-82F3-BF750B56BB27}"/>
    <cellStyle name="Normal 4 3 3 2 5 3" xfId="5989" xr:uid="{00000000-0005-0000-0000-00007E140000}"/>
    <cellStyle name="Normal 4 3 3 2 5 3 2" xfId="14431" xr:uid="{1CD1ACAD-5C6A-4974-9A73-C8E8D6827AA8}"/>
    <cellStyle name="Normal 4 3 3 2 5 4" xfId="10213" xr:uid="{30FA7288-6D51-44B2-A812-C3886BAB9B7C}"/>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AD1ED456-5267-42B0-9AD4-5BEFAFFD703B}"/>
    <cellStyle name="Normal 4 3 3 2 6 2 3" xfId="12771" xr:uid="{F28C316B-20C7-4FCE-AC1D-CAB62F63590E}"/>
    <cellStyle name="Normal 4 3 3 2 6 3" xfId="6402" xr:uid="{00000000-0005-0000-0000-000082140000}"/>
    <cellStyle name="Normal 4 3 3 2 6 3 2" xfId="14844" xr:uid="{3F5759F7-CBC5-430D-961A-8341086EF218}"/>
    <cellStyle name="Normal 4 3 3 2 6 4" xfId="10626" xr:uid="{24ECE540-0335-4939-8EC9-53A3FF3B4182}"/>
    <cellStyle name="Normal 4 3 3 2 7" xfId="2531" xr:uid="{00000000-0005-0000-0000-000083140000}"/>
    <cellStyle name="Normal 4 3 3 2 7 2" xfId="6815" xr:uid="{00000000-0005-0000-0000-000084140000}"/>
    <cellStyle name="Normal 4 3 3 2 7 2 2" xfId="15257" xr:uid="{EFFA19B4-1263-48B5-9E8B-76BF9DD1C129}"/>
    <cellStyle name="Normal 4 3 3 2 7 3" xfId="11039" xr:uid="{B3CC4924-4CBF-4C16-866B-FF749BF3118B}"/>
    <cellStyle name="Normal 4 3 3 2 8" xfId="4750" xr:uid="{00000000-0005-0000-0000-000085140000}"/>
    <cellStyle name="Normal 4 3 3 2 8 2" xfId="13192" xr:uid="{7F0F3FD0-BB83-4A41-9110-1AC07C55A6CB}"/>
    <cellStyle name="Normal 4 3 3 2 9" xfId="8974" xr:uid="{F81450EE-8BCD-4FF8-AD03-64B9B91DA236}"/>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351639B4-166C-4764-A83D-B50456CC4306}"/>
    <cellStyle name="Normal 4 3 3 3 2 2 3" xfId="11534" xr:uid="{D9DFA228-FC8A-4F4B-A995-FB2CEA652A2E}"/>
    <cellStyle name="Normal 4 3 3 3 2 3" xfId="5165" xr:uid="{00000000-0005-0000-0000-00008A140000}"/>
    <cellStyle name="Normal 4 3 3 3 2 3 2" xfId="13607" xr:uid="{1E6541CC-F972-41D9-B93B-186FA3F3F5A7}"/>
    <cellStyle name="Normal 4 3 3 3 2 4" xfId="9389" xr:uid="{7EEA7577-BCAC-494F-82AE-E7990A66B7E0}"/>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03B58B95-E71C-46AD-AFC6-9CD98D9C903A}"/>
    <cellStyle name="Normal 4 3 3 3 3 2 3" xfId="11947" xr:uid="{1BE6D25D-0D48-46A2-BC62-15579499BAAA}"/>
    <cellStyle name="Normal 4 3 3 3 3 3" xfId="5578" xr:uid="{00000000-0005-0000-0000-00008E140000}"/>
    <cellStyle name="Normal 4 3 3 3 3 3 2" xfId="14020" xr:uid="{A2D929BD-7745-456F-903C-0956048BF1A5}"/>
    <cellStyle name="Normal 4 3 3 3 3 4" xfId="9802" xr:uid="{9F0CEA0E-C770-42CF-A25D-E4D4EE737E4F}"/>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16422A30-274E-46F3-A24E-C2D6A35D6273}"/>
    <cellStyle name="Normal 4 3 3 3 4 2 3" xfId="12360" xr:uid="{D23BB869-8D95-4988-BDC4-69F187B463DC}"/>
    <cellStyle name="Normal 4 3 3 3 4 3" xfId="5991" xr:uid="{00000000-0005-0000-0000-000092140000}"/>
    <cellStyle name="Normal 4 3 3 3 4 3 2" xfId="14433" xr:uid="{26664CFF-3D76-422C-BBEA-B310B4879C39}"/>
    <cellStyle name="Normal 4 3 3 3 4 4" xfId="10215" xr:uid="{25353D4B-7B41-454C-B577-1F32BE6ADDEA}"/>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865FDEB8-2593-4CBE-80BC-393A92E78A01}"/>
    <cellStyle name="Normal 4 3 3 3 5 2 3" xfId="12773" xr:uid="{5220B5CE-914B-490A-9E22-066E88D27194}"/>
    <cellStyle name="Normal 4 3 3 3 5 3" xfId="6404" xr:uid="{00000000-0005-0000-0000-000096140000}"/>
    <cellStyle name="Normal 4 3 3 3 5 3 2" xfId="14846" xr:uid="{67CD3EF9-0521-46FA-917A-2B3B6ED3576B}"/>
    <cellStyle name="Normal 4 3 3 3 5 4" xfId="10628" xr:uid="{EAF07287-F7F9-41A6-983D-56060BB72736}"/>
    <cellStyle name="Normal 4 3 3 3 6" xfId="2533" xr:uid="{00000000-0005-0000-0000-000097140000}"/>
    <cellStyle name="Normal 4 3 3 3 6 2" xfId="6817" xr:uid="{00000000-0005-0000-0000-000098140000}"/>
    <cellStyle name="Normal 4 3 3 3 6 2 2" xfId="15259" xr:uid="{489A9404-0263-4855-A154-BAA101A96F53}"/>
    <cellStyle name="Normal 4 3 3 3 6 3" xfId="11041" xr:uid="{D378C429-8B25-4D79-85A4-89E3BE30DFFF}"/>
    <cellStyle name="Normal 4 3 3 3 7" xfId="4752" xr:uid="{00000000-0005-0000-0000-000099140000}"/>
    <cellStyle name="Normal 4 3 3 3 7 2" xfId="13194" xr:uid="{CA215316-B53C-4D49-8D21-065D8E99E5BE}"/>
    <cellStyle name="Normal 4 3 3 3 8" xfId="8976" xr:uid="{A15AB820-28DE-4BFC-AE7A-9CD48C8C6971}"/>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A5A34784-99F4-4A2A-B97B-7504360D1E7E}"/>
    <cellStyle name="Normal 4 3 3 4 2 3" xfId="11531" xr:uid="{44F949AE-6BA0-4228-BE63-843D46C44F66}"/>
    <cellStyle name="Normal 4 3 3 4 3" xfId="5162" xr:uid="{00000000-0005-0000-0000-00009D140000}"/>
    <cellStyle name="Normal 4 3 3 4 3 2" xfId="13604" xr:uid="{BFC4E97F-4153-4B03-B0C2-66DB89441428}"/>
    <cellStyle name="Normal 4 3 3 4 4" xfId="9386" xr:uid="{AEBF8009-A158-4414-ACBB-60100845EB7D}"/>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C329E43C-B521-45CC-8064-0712D942CAF1}"/>
    <cellStyle name="Normal 4 3 3 5 2 3" xfId="11944" xr:uid="{5C18B06E-84BD-444B-BEB1-D69E20681CA8}"/>
    <cellStyle name="Normal 4 3 3 5 3" xfId="5575" xr:uid="{00000000-0005-0000-0000-0000A1140000}"/>
    <cellStyle name="Normal 4 3 3 5 3 2" xfId="14017" xr:uid="{32882973-B17C-4FF9-9CDC-89E606F530F9}"/>
    <cellStyle name="Normal 4 3 3 5 4" xfId="9799" xr:uid="{C0BC13BE-C715-4520-8A99-7A0D1EFCC209}"/>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F25E6D50-42D0-4D7D-ABEE-FE066D433BBD}"/>
    <cellStyle name="Normal 4 3 3 6 2 3" xfId="12357" xr:uid="{D345E4CD-9B98-438C-B4CB-7F8C31476C5D}"/>
    <cellStyle name="Normal 4 3 3 6 3" xfId="5988" xr:uid="{00000000-0005-0000-0000-0000A5140000}"/>
    <cellStyle name="Normal 4 3 3 6 3 2" xfId="14430" xr:uid="{BCCCAF13-C2DB-4107-BD53-CD40666B1A0D}"/>
    <cellStyle name="Normal 4 3 3 6 4" xfId="10212" xr:uid="{987485B6-BC28-4B54-B872-3F887083B19C}"/>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70CCACA3-D4F8-4596-BDF0-5C560C239AD6}"/>
    <cellStyle name="Normal 4 3 3 7 2 3" xfId="12770" xr:uid="{4914D300-8E2E-46C5-B24F-1D5A30EC1607}"/>
    <cellStyle name="Normal 4 3 3 7 3" xfId="6401" xr:uid="{00000000-0005-0000-0000-0000A9140000}"/>
    <cellStyle name="Normal 4 3 3 7 3 2" xfId="14843" xr:uid="{D51E8426-654F-447B-BDA9-A8FDD254F02B}"/>
    <cellStyle name="Normal 4 3 3 7 4" xfId="10625" xr:uid="{181849E4-0132-4BF7-8986-2DBBA44A8AF4}"/>
    <cellStyle name="Normal 4 3 3 8" xfId="2530" xr:uid="{00000000-0005-0000-0000-0000AA140000}"/>
    <cellStyle name="Normal 4 3 3 8 2" xfId="6814" xr:uid="{00000000-0005-0000-0000-0000AB140000}"/>
    <cellStyle name="Normal 4 3 3 8 2 2" xfId="15256" xr:uid="{CEC7C39C-1114-4F17-8BB4-652589FABB4D}"/>
    <cellStyle name="Normal 4 3 3 8 3" xfId="11038" xr:uid="{5E23ECC2-6312-4A2D-8517-3CCF2F62DA38}"/>
    <cellStyle name="Normal 4 3 3 9" xfId="4749" xr:uid="{00000000-0005-0000-0000-0000AC140000}"/>
    <cellStyle name="Normal 4 3 3 9 2" xfId="13191" xr:uid="{8FC6F01C-4687-4E7B-BCEE-210701B6F967}"/>
    <cellStyle name="Normal 4 3 4" xfId="842" xr:uid="{00000000-0005-0000-0000-0000AD140000}"/>
    <cellStyle name="Normal 4 3 4 2" xfId="3079" xr:uid="{00000000-0005-0000-0000-0000AE140000}"/>
    <cellStyle name="Normal 4 3 4 2 2" xfId="7302" xr:uid="{00000000-0005-0000-0000-0000AF140000}"/>
    <cellStyle name="Normal 4 3 4 2 2 2" xfId="15744" xr:uid="{EF273EE9-270A-4291-8EC9-52EAC6F38C3F}"/>
    <cellStyle name="Normal 4 3 4 2 3" xfId="11526" xr:uid="{85458449-89FA-4AD2-BAD7-C183D564C755}"/>
    <cellStyle name="Normal 4 3 4 3" xfId="5157" xr:uid="{00000000-0005-0000-0000-0000B0140000}"/>
    <cellStyle name="Normal 4 3 4 3 2" xfId="13599" xr:uid="{EBB32E9C-1A47-4881-BAF7-095CA511C1AE}"/>
    <cellStyle name="Normal 4 3 4 4" xfId="9381" xr:uid="{6CE66628-80B3-44DC-923C-F25EF4593324}"/>
    <cellStyle name="Normal 4 3 5" xfId="1262" xr:uid="{00000000-0005-0000-0000-0000B1140000}"/>
    <cellStyle name="Normal 4 3 5 2" xfId="3492" xr:uid="{00000000-0005-0000-0000-0000B2140000}"/>
    <cellStyle name="Normal 4 3 5 2 2" xfId="7715" xr:uid="{00000000-0005-0000-0000-0000B3140000}"/>
    <cellStyle name="Normal 4 3 5 2 2 2" xfId="16157" xr:uid="{DE2B08E4-6051-4F72-B1E8-EC5C66FE7A01}"/>
    <cellStyle name="Normal 4 3 5 2 3" xfId="11939" xr:uid="{20237D7B-4536-467A-879A-06C5BA4DA0B0}"/>
    <cellStyle name="Normal 4 3 5 3" xfId="5570" xr:uid="{00000000-0005-0000-0000-0000B4140000}"/>
    <cellStyle name="Normal 4 3 5 3 2" xfId="14012" xr:uid="{E455C8A7-5830-4003-AA2F-AC39E2E47188}"/>
    <cellStyle name="Normal 4 3 5 4" xfId="9794" xr:uid="{5B44FA38-9FED-465D-ACA8-B9F9DAB92921}"/>
    <cellStyle name="Normal 4 3 6" xfId="1675" xr:uid="{00000000-0005-0000-0000-0000B5140000}"/>
    <cellStyle name="Normal 4 3 6 2" xfId="3905" xr:uid="{00000000-0005-0000-0000-0000B6140000}"/>
    <cellStyle name="Normal 4 3 6 2 2" xfId="8128" xr:uid="{00000000-0005-0000-0000-0000B7140000}"/>
    <cellStyle name="Normal 4 3 6 2 2 2" xfId="16570" xr:uid="{DFB6BBC4-C753-4645-828A-6B8BADDB4FDA}"/>
    <cellStyle name="Normal 4 3 6 2 3" xfId="12352" xr:uid="{0D4E52E0-2A28-4B7A-BDEE-754869CA110D}"/>
    <cellStyle name="Normal 4 3 6 3" xfId="5983" xr:uid="{00000000-0005-0000-0000-0000B8140000}"/>
    <cellStyle name="Normal 4 3 6 3 2" xfId="14425" xr:uid="{7CC21ADA-C12C-4662-BDE5-BA80DBFFF05B}"/>
    <cellStyle name="Normal 4 3 6 4" xfId="10207" xr:uid="{EE6C7AD9-4FAA-42D9-BD90-A0E40310DFEE}"/>
    <cellStyle name="Normal 4 3 7" xfId="2089" xr:uid="{00000000-0005-0000-0000-0000B9140000}"/>
    <cellStyle name="Normal 4 3 7 2" xfId="4318" xr:uid="{00000000-0005-0000-0000-0000BA140000}"/>
    <cellStyle name="Normal 4 3 7 2 2" xfId="8541" xr:uid="{00000000-0005-0000-0000-0000BB140000}"/>
    <cellStyle name="Normal 4 3 7 2 2 2" xfId="16983" xr:uid="{0E2D7A74-C663-4AFB-90AA-BC7940D02157}"/>
    <cellStyle name="Normal 4 3 7 2 3" xfId="12765" xr:uid="{EB2546C9-A0FE-4BA5-A6ED-A367CDAF2B3F}"/>
    <cellStyle name="Normal 4 3 7 3" xfId="6396" xr:uid="{00000000-0005-0000-0000-0000BC140000}"/>
    <cellStyle name="Normal 4 3 7 3 2" xfId="14838" xr:uid="{E5285AA9-6747-4B74-A0E8-CD2B574CC0A3}"/>
    <cellStyle name="Normal 4 3 7 4" xfId="10620" xr:uid="{4690FC19-26BB-4012-A3B0-F726DB344C74}"/>
    <cellStyle name="Normal 4 3 8" xfId="2525" xr:uid="{00000000-0005-0000-0000-0000BD140000}"/>
    <cellStyle name="Normal 4 3 8 2" xfId="6809" xr:uid="{00000000-0005-0000-0000-0000BE140000}"/>
    <cellStyle name="Normal 4 3 8 2 2" xfId="15251" xr:uid="{9D46B199-5021-4B0D-8475-E015B4A5EA0C}"/>
    <cellStyle name="Normal 4 3 8 3" xfId="11033" xr:uid="{99E8364B-26C5-447F-9088-024BB0269CD4}"/>
    <cellStyle name="Normal 4 3 9" xfId="4744" xr:uid="{00000000-0005-0000-0000-0000BF140000}"/>
    <cellStyle name="Normal 4 3 9 2" xfId="13186" xr:uid="{B4F2BA1B-F5AB-42F1-8FA0-266447C129EB}"/>
    <cellStyle name="Normal 4 4" xfId="378" xr:uid="{00000000-0005-0000-0000-0000C0140000}"/>
    <cellStyle name="Normal 4 4 10" xfId="2534" xr:uid="{00000000-0005-0000-0000-0000C1140000}"/>
    <cellStyle name="Normal 4 4 10 2" xfId="6818" xr:uid="{00000000-0005-0000-0000-0000C2140000}"/>
    <cellStyle name="Normal 4 4 10 2 2" xfId="15260" xr:uid="{942EDE22-02DE-4DF6-8DA7-854A0294FB8B}"/>
    <cellStyle name="Normal 4 4 10 3" xfId="11042" xr:uid="{7214DAA9-CFFB-49BD-BF39-FBF8F2EF52BC}"/>
    <cellStyle name="Normal 4 4 11" xfId="4753" xr:uid="{00000000-0005-0000-0000-0000C3140000}"/>
    <cellStyle name="Normal 4 4 11 2" xfId="13195" xr:uid="{293D0896-7980-4222-87F6-C2BDB8FA8D91}"/>
    <cellStyle name="Normal 4 4 12" xfId="8977" xr:uid="{C9DC09F5-395D-4B6A-8664-D5EB224186CF}"/>
    <cellStyle name="Normal 4 4 2" xfId="379" xr:uid="{00000000-0005-0000-0000-0000C4140000}"/>
    <cellStyle name="Normal 4 4 2 10" xfId="4754" xr:uid="{00000000-0005-0000-0000-0000C5140000}"/>
    <cellStyle name="Normal 4 4 2 10 2" xfId="13196" xr:uid="{0C4EF03B-18F7-4465-89CF-45E38D4A3887}"/>
    <cellStyle name="Normal 4 4 2 11" xfId="8978" xr:uid="{BA753F4E-663C-4BE2-A85C-A176F00B0AF4}"/>
    <cellStyle name="Normal 4 4 2 2" xfId="380" xr:uid="{00000000-0005-0000-0000-0000C6140000}"/>
    <cellStyle name="Normal 4 4 2 2 10" xfId="8979" xr:uid="{CEF63449-2E31-46F2-BF55-48B33640AAE3}"/>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A4BE32E0-110C-49B0-8DBA-E7A2CC58172E}"/>
    <cellStyle name="Normal 4 4 2 2 2 2 2 2 3" xfId="11539" xr:uid="{2FF3609C-666E-4864-8871-BC49BD6E1717}"/>
    <cellStyle name="Normal 4 4 2 2 2 2 2 3" xfId="5170" xr:uid="{00000000-0005-0000-0000-0000CC140000}"/>
    <cellStyle name="Normal 4 4 2 2 2 2 2 3 2" xfId="13612" xr:uid="{2CD33507-8CEA-4B34-B5F8-D0BEE96DAD19}"/>
    <cellStyle name="Normal 4 4 2 2 2 2 2 4" xfId="9394" xr:uid="{32F6D870-C0B1-425E-A38B-85270EF69507}"/>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3545E471-36ED-4563-8C30-C3DCF574C11F}"/>
    <cellStyle name="Normal 4 4 2 2 2 2 3 2 3" xfId="11952" xr:uid="{AA74BF23-6495-42D9-A548-44A3D594B742}"/>
    <cellStyle name="Normal 4 4 2 2 2 2 3 3" xfId="5583" xr:uid="{00000000-0005-0000-0000-0000D0140000}"/>
    <cellStyle name="Normal 4 4 2 2 2 2 3 3 2" xfId="14025" xr:uid="{4B97EE13-37BF-4BF8-82E7-79FF1D65FA9D}"/>
    <cellStyle name="Normal 4 4 2 2 2 2 3 4" xfId="9807" xr:uid="{44F6E501-691C-4C8E-AA39-2955DF8012AA}"/>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C4DC0350-F7EF-478E-970B-F76A2BAA3108}"/>
    <cellStyle name="Normal 4 4 2 2 2 2 4 2 3" xfId="12365" xr:uid="{1AB57D3A-1926-4C34-AE8F-B341F2D213AE}"/>
    <cellStyle name="Normal 4 4 2 2 2 2 4 3" xfId="5996" xr:uid="{00000000-0005-0000-0000-0000D4140000}"/>
    <cellStyle name="Normal 4 4 2 2 2 2 4 3 2" xfId="14438" xr:uid="{D55E856A-B919-42AD-884F-3A82D209F750}"/>
    <cellStyle name="Normal 4 4 2 2 2 2 4 4" xfId="10220" xr:uid="{6515A263-0174-4685-9ED0-957D8F377C42}"/>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6B4B3B7D-8DE4-45F1-9ABE-FCBDE0918D7E}"/>
    <cellStyle name="Normal 4 4 2 2 2 2 5 2 3" xfId="12778" xr:uid="{462E5EB6-2C10-489B-A503-3E321A700AD1}"/>
    <cellStyle name="Normal 4 4 2 2 2 2 5 3" xfId="6409" xr:uid="{00000000-0005-0000-0000-0000D8140000}"/>
    <cellStyle name="Normal 4 4 2 2 2 2 5 3 2" xfId="14851" xr:uid="{87260DF2-F417-49B2-9DE8-ED9E95B019E1}"/>
    <cellStyle name="Normal 4 4 2 2 2 2 5 4" xfId="10633" xr:uid="{7B9794A0-745E-4E16-8BA2-7CCE4D7F3A06}"/>
    <cellStyle name="Normal 4 4 2 2 2 2 6" xfId="2538" xr:uid="{00000000-0005-0000-0000-0000D9140000}"/>
    <cellStyle name="Normal 4 4 2 2 2 2 6 2" xfId="6822" xr:uid="{00000000-0005-0000-0000-0000DA140000}"/>
    <cellStyle name="Normal 4 4 2 2 2 2 6 2 2" xfId="15264" xr:uid="{E2C48A69-6547-44C3-BFD6-AC1C705AD0C4}"/>
    <cellStyle name="Normal 4 4 2 2 2 2 6 3" xfId="11046" xr:uid="{B49D58BA-D29D-4E75-938C-3B71CF7F9722}"/>
    <cellStyle name="Normal 4 4 2 2 2 2 7" xfId="4757" xr:uid="{00000000-0005-0000-0000-0000DB140000}"/>
    <cellStyle name="Normal 4 4 2 2 2 2 7 2" xfId="13199" xr:uid="{9163D96E-1159-46F5-AC59-C65E9B0DE5BE}"/>
    <cellStyle name="Normal 4 4 2 2 2 2 8" xfId="8981" xr:uid="{6193463F-0B15-454C-9A87-0C37ECE2F24F}"/>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D574FB01-D34A-4F5B-856C-24D4FF11AFAB}"/>
    <cellStyle name="Normal 4 4 2 2 2 3 2 3" xfId="11538" xr:uid="{19CC4841-712F-4703-8CA1-20BF46BDD589}"/>
    <cellStyle name="Normal 4 4 2 2 2 3 3" xfId="5169" xr:uid="{00000000-0005-0000-0000-0000DF140000}"/>
    <cellStyle name="Normal 4 4 2 2 2 3 3 2" xfId="13611" xr:uid="{752497AF-55EF-4B89-ACD8-530CCB9EF02A}"/>
    <cellStyle name="Normal 4 4 2 2 2 3 4" xfId="9393" xr:uid="{2233C4D4-09C0-4890-91E7-542EF4B61CFE}"/>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A0B09AE1-1C32-49BB-997D-F01FEACC1156}"/>
    <cellStyle name="Normal 4 4 2 2 2 4 2 3" xfId="11951" xr:uid="{7D5CB0DE-B7F9-4774-A881-D46C35497687}"/>
    <cellStyle name="Normal 4 4 2 2 2 4 3" xfId="5582" xr:uid="{00000000-0005-0000-0000-0000E3140000}"/>
    <cellStyle name="Normal 4 4 2 2 2 4 3 2" xfId="14024" xr:uid="{86E172C8-798A-4755-A28A-20A2D9318B84}"/>
    <cellStyle name="Normal 4 4 2 2 2 4 4" xfId="9806" xr:uid="{591D5BDB-2BF5-4D8E-8D39-61FB8A545F3C}"/>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51315652-4AF7-4503-8A85-66852921931A}"/>
    <cellStyle name="Normal 4 4 2 2 2 5 2 3" xfId="12364" xr:uid="{FA0B16FC-130D-49A2-B5E4-CE48E7234C48}"/>
    <cellStyle name="Normal 4 4 2 2 2 5 3" xfId="5995" xr:uid="{00000000-0005-0000-0000-0000E7140000}"/>
    <cellStyle name="Normal 4 4 2 2 2 5 3 2" xfId="14437" xr:uid="{EC71E260-853D-4156-9AB4-060CE1605E51}"/>
    <cellStyle name="Normal 4 4 2 2 2 5 4" xfId="10219" xr:uid="{E4967FE4-7080-41B2-939D-5083D50BDB8A}"/>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614F7E7D-4DB4-4DA8-96C0-8145207B50A0}"/>
    <cellStyle name="Normal 4 4 2 2 2 6 2 3" xfId="12777" xr:uid="{27E17EB7-D322-4E38-85FE-07D06E7E7381}"/>
    <cellStyle name="Normal 4 4 2 2 2 6 3" xfId="6408" xr:uid="{00000000-0005-0000-0000-0000EB140000}"/>
    <cellStyle name="Normal 4 4 2 2 2 6 3 2" xfId="14850" xr:uid="{B542E47F-AED7-458B-AAA5-019D023F4F1D}"/>
    <cellStyle name="Normal 4 4 2 2 2 6 4" xfId="10632" xr:uid="{09F112DE-C442-4F0C-B144-CBD1AA42F494}"/>
    <cellStyle name="Normal 4 4 2 2 2 7" xfId="2537" xr:uid="{00000000-0005-0000-0000-0000EC140000}"/>
    <cellStyle name="Normal 4 4 2 2 2 7 2" xfId="6821" xr:uid="{00000000-0005-0000-0000-0000ED140000}"/>
    <cellStyle name="Normal 4 4 2 2 2 7 2 2" xfId="15263" xr:uid="{CAB9064F-7CC0-4ADE-A6DC-ED400300E996}"/>
    <cellStyle name="Normal 4 4 2 2 2 7 3" xfId="11045" xr:uid="{913E291F-56FE-4298-B1E1-F794309B6BD3}"/>
    <cellStyle name="Normal 4 4 2 2 2 8" xfId="4756" xr:uid="{00000000-0005-0000-0000-0000EE140000}"/>
    <cellStyle name="Normal 4 4 2 2 2 8 2" xfId="13198" xr:uid="{B192D9C4-D6B6-4816-ACD7-CC194EC6881E}"/>
    <cellStyle name="Normal 4 4 2 2 2 9" xfId="8980" xr:uid="{1074BAAF-A4A1-4314-92EA-6CE237329653}"/>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441DC2BE-C882-45E2-B3B1-0B4BA9FDE97D}"/>
    <cellStyle name="Normal 4 4 2 2 3 2 2 3" xfId="11540" xr:uid="{BBE93460-CDFC-4979-84B4-04A326A2BD4D}"/>
    <cellStyle name="Normal 4 4 2 2 3 2 3" xfId="5171" xr:uid="{00000000-0005-0000-0000-0000F3140000}"/>
    <cellStyle name="Normal 4 4 2 2 3 2 3 2" xfId="13613" xr:uid="{CF76BFE8-BCF9-483E-8EBF-334AF53DEA0A}"/>
    <cellStyle name="Normal 4 4 2 2 3 2 4" xfId="9395" xr:uid="{0FADC992-5F87-484E-A51B-0C06A9E17E0F}"/>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7C63F56D-3068-4023-AD86-2AB72832D97B}"/>
    <cellStyle name="Normal 4 4 2 2 3 3 2 3" xfId="11953" xr:uid="{854652AE-A23D-40D6-87E3-E3E3353004F9}"/>
    <cellStyle name="Normal 4 4 2 2 3 3 3" xfId="5584" xr:uid="{00000000-0005-0000-0000-0000F7140000}"/>
    <cellStyle name="Normal 4 4 2 2 3 3 3 2" xfId="14026" xr:uid="{B740B5DF-1640-4D94-AC23-7A36C59DDBC4}"/>
    <cellStyle name="Normal 4 4 2 2 3 3 4" xfId="9808" xr:uid="{7FB66172-80F0-47C3-994C-3A5324ADC498}"/>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CE9E4FE8-F18B-450A-896D-2F85AE9C6DEF}"/>
    <cellStyle name="Normal 4 4 2 2 3 4 2 3" xfId="12366" xr:uid="{35847D6C-2E50-4867-A21C-BD2243091E6D}"/>
    <cellStyle name="Normal 4 4 2 2 3 4 3" xfId="5997" xr:uid="{00000000-0005-0000-0000-0000FB140000}"/>
    <cellStyle name="Normal 4 4 2 2 3 4 3 2" xfId="14439" xr:uid="{B66F16AF-3A3B-4B0C-9EBA-36C0D9411014}"/>
    <cellStyle name="Normal 4 4 2 2 3 4 4" xfId="10221" xr:uid="{E7628FC8-AD9D-4C04-B44B-F8B226678819}"/>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D05024EC-D58C-4016-8DD0-F12DF043AA67}"/>
    <cellStyle name="Normal 4 4 2 2 3 5 2 3" xfId="12779" xr:uid="{24A2B246-F755-48B3-B093-3FF670564F41}"/>
    <cellStyle name="Normal 4 4 2 2 3 5 3" xfId="6410" xr:uid="{00000000-0005-0000-0000-0000FF140000}"/>
    <cellStyle name="Normal 4 4 2 2 3 5 3 2" xfId="14852" xr:uid="{3121E564-772A-41BB-B3D9-7BE0DF0881DC}"/>
    <cellStyle name="Normal 4 4 2 2 3 5 4" xfId="10634" xr:uid="{351884A2-ED0E-4017-BC31-2AAA880FB19E}"/>
    <cellStyle name="Normal 4 4 2 2 3 6" xfId="2539" xr:uid="{00000000-0005-0000-0000-000000150000}"/>
    <cellStyle name="Normal 4 4 2 2 3 6 2" xfId="6823" xr:uid="{00000000-0005-0000-0000-000001150000}"/>
    <cellStyle name="Normal 4 4 2 2 3 6 2 2" xfId="15265" xr:uid="{CB4E13A4-06FA-4023-992D-D6BDB171C19E}"/>
    <cellStyle name="Normal 4 4 2 2 3 6 3" xfId="11047" xr:uid="{A69D45C7-5746-4362-BACA-60CA777A6F70}"/>
    <cellStyle name="Normal 4 4 2 2 3 7" xfId="4758" xr:uid="{00000000-0005-0000-0000-000002150000}"/>
    <cellStyle name="Normal 4 4 2 2 3 7 2" xfId="13200" xr:uid="{AD325DAD-C9E2-4B7B-8B40-656FC157099E}"/>
    <cellStyle name="Normal 4 4 2 2 3 8" xfId="8982" xr:uid="{6F0F6F48-401A-43D3-A948-63410C008995}"/>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E2862AD2-0995-42F4-AC67-41A5ACA765B6}"/>
    <cellStyle name="Normal 4 4 2 2 4 2 3" xfId="11537" xr:uid="{9500EBEC-AC49-40D9-9008-A819CD49C020}"/>
    <cellStyle name="Normal 4 4 2 2 4 3" xfId="5168" xr:uid="{00000000-0005-0000-0000-000006150000}"/>
    <cellStyle name="Normal 4 4 2 2 4 3 2" xfId="13610" xr:uid="{51182FC2-A6FB-4981-8F78-08DA2C5C7212}"/>
    <cellStyle name="Normal 4 4 2 2 4 4" xfId="9392" xr:uid="{AA1FA81D-4C12-4583-8897-D92FC591393A}"/>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86AC935F-B75A-4E66-BCB2-2CB2B4C75589}"/>
    <cellStyle name="Normal 4 4 2 2 5 2 3" xfId="11950" xr:uid="{94BA69E7-9C9F-4D6B-A77E-10F7846CDF57}"/>
    <cellStyle name="Normal 4 4 2 2 5 3" xfId="5581" xr:uid="{00000000-0005-0000-0000-00000A150000}"/>
    <cellStyle name="Normal 4 4 2 2 5 3 2" xfId="14023" xr:uid="{BB744376-09AD-4382-8545-67F05F55ABF8}"/>
    <cellStyle name="Normal 4 4 2 2 5 4" xfId="9805" xr:uid="{F8165161-0328-462E-B053-EE85ED8CE1F0}"/>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AA676CE6-1047-456F-A288-82B3C7D03055}"/>
    <cellStyle name="Normal 4 4 2 2 6 2 3" xfId="12363" xr:uid="{3A588524-5D0B-40F4-9FFB-2945E16E3FEF}"/>
    <cellStyle name="Normal 4 4 2 2 6 3" xfId="5994" xr:uid="{00000000-0005-0000-0000-00000E150000}"/>
    <cellStyle name="Normal 4 4 2 2 6 3 2" xfId="14436" xr:uid="{24A4B365-55C4-48C2-B970-29F02BA52DA3}"/>
    <cellStyle name="Normal 4 4 2 2 6 4" xfId="10218" xr:uid="{084B8818-FDA0-4D2E-933B-1643C9939BC6}"/>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7F689609-F63B-4DAC-9AB2-02ACACBE7C16}"/>
    <cellStyle name="Normal 4 4 2 2 7 2 3" xfId="12776" xr:uid="{2AA405F7-AFEB-4FF6-8755-C57C922864DE}"/>
    <cellStyle name="Normal 4 4 2 2 7 3" xfId="6407" xr:uid="{00000000-0005-0000-0000-000012150000}"/>
    <cellStyle name="Normal 4 4 2 2 7 3 2" xfId="14849" xr:uid="{722363A4-0E30-43D9-8A2D-F31FAF82EAE0}"/>
    <cellStyle name="Normal 4 4 2 2 7 4" xfId="10631" xr:uid="{41C664CB-3023-4B02-9F25-D7A16275D04C}"/>
    <cellStyle name="Normal 4 4 2 2 8" xfId="2536" xr:uid="{00000000-0005-0000-0000-000013150000}"/>
    <cellStyle name="Normal 4 4 2 2 8 2" xfId="6820" xr:uid="{00000000-0005-0000-0000-000014150000}"/>
    <cellStyle name="Normal 4 4 2 2 8 2 2" xfId="15262" xr:uid="{1265FCD9-EE67-4D89-A31E-8BA25967B4BF}"/>
    <cellStyle name="Normal 4 4 2 2 8 3" xfId="11044" xr:uid="{31A3E43E-6EBD-4C70-A539-AA8D639CB536}"/>
    <cellStyle name="Normal 4 4 2 2 9" xfId="4755" xr:uid="{00000000-0005-0000-0000-000015150000}"/>
    <cellStyle name="Normal 4 4 2 2 9 2" xfId="13197" xr:uid="{9EA21AB7-DC54-4DFB-BA60-8DC7C24CA46F}"/>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80F6CF08-2324-4651-B19B-387E7D0D6808}"/>
    <cellStyle name="Normal 4 4 2 3 2 2 2 3" xfId="11542" xr:uid="{FF3BD23D-CD55-49B6-AF0B-225C82C70831}"/>
    <cellStyle name="Normal 4 4 2 3 2 2 3" xfId="5173" xr:uid="{00000000-0005-0000-0000-00001B150000}"/>
    <cellStyle name="Normal 4 4 2 3 2 2 3 2" xfId="13615" xr:uid="{E94FECEE-F8B8-4D29-A9C9-AF87904B3BE1}"/>
    <cellStyle name="Normal 4 4 2 3 2 2 4" xfId="9397" xr:uid="{E4D064C8-6B71-42B2-99E8-3E572B95E0A1}"/>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600CCB6F-B75C-4103-BB61-F205071AE6A3}"/>
    <cellStyle name="Normal 4 4 2 3 2 3 2 3" xfId="11955" xr:uid="{06F54E87-C2FD-48D2-9683-F805011739D1}"/>
    <cellStyle name="Normal 4 4 2 3 2 3 3" xfId="5586" xr:uid="{00000000-0005-0000-0000-00001F150000}"/>
    <cellStyle name="Normal 4 4 2 3 2 3 3 2" xfId="14028" xr:uid="{0229B581-ED78-4AD7-814B-7B76AFC37EF8}"/>
    <cellStyle name="Normal 4 4 2 3 2 3 4" xfId="9810" xr:uid="{613B3373-AB27-40AC-B701-E1EF2E4CAFB8}"/>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71A7A5F9-C13E-4BD6-8806-4FB4E4E2711E}"/>
    <cellStyle name="Normal 4 4 2 3 2 4 2 3" xfId="12368" xr:uid="{8E6B281C-3116-45F5-80C1-317D86825DDD}"/>
    <cellStyle name="Normal 4 4 2 3 2 4 3" xfId="5999" xr:uid="{00000000-0005-0000-0000-000023150000}"/>
    <cellStyle name="Normal 4 4 2 3 2 4 3 2" xfId="14441" xr:uid="{DA2449C2-D88C-4E9A-AE74-930C64164999}"/>
    <cellStyle name="Normal 4 4 2 3 2 4 4" xfId="10223" xr:uid="{D91CA118-98E2-4F02-8111-793CC5AED0FF}"/>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47BF6BFB-70DA-45DA-87A6-4DF3D24022F3}"/>
    <cellStyle name="Normal 4 4 2 3 2 5 2 3" xfId="12781" xr:uid="{8AEC777A-6937-4452-BFA7-2ED0EEEF8FDB}"/>
    <cellStyle name="Normal 4 4 2 3 2 5 3" xfId="6412" xr:uid="{00000000-0005-0000-0000-000027150000}"/>
    <cellStyle name="Normal 4 4 2 3 2 5 3 2" xfId="14854" xr:uid="{FF3D5DF7-1C25-4922-BAB6-5278B272208F}"/>
    <cellStyle name="Normal 4 4 2 3 2 5 4" xfId="10636" xr:uid="{C814F21C-729B-4F2C-992E-6D6300EACF2E}"/>
    <cellStyle name="Normal 4 4 2 3 2 6" xfId="2541" xr:uid="{00000000-0005-0000-0000-000028150000}"/>
    <cellStyle name="Normal 4 4 2 3 2 6 2" xfId="6825" xr:uid="{00000000-0005-0000-0000-000029150000}"/>
    <cellStyle name="Normal 4 4 2 3 2 6 2 2" xfId="15267" xr:uid="{39D5F71B-07D5-4FB1-AB4A-3E8DDF801C9D}"/>
    <cellStyle name="Normal 4 4 2 3 2 6 3" xfId="11049" xr:uid="{E1DB319F-77BE-4DD8-B811-4F2909895759}"/>
    <cellStyle name="Normal 4 4 2 3 2 7" xfId="4760" xr:uid="{00000000-0005-0000-0000-00002A150000}"/>
    <cellStyle name="Normal 4 4 2 3 2 7 2" xfId="13202" xr:uid="{60AD5AE2-CDFE-493F-8539-C7D684C8FA01}"/>
    <cellStyle name="Normal 4 4 2 3 2 8" xfId="8984" xr:uid="{BF928C09-A81E-46FC-9FA0-92705F78E033}"/>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93321695-9EAB-4DE3-9BA5-932A5B139F56}"/>
    <cellStyle name="Normal 4 4 2 3 3 2 3" xfId="11541" xr:uid="{1E59677E-2AE6-4818-AD3E-23331EED155A}"/>
    <cellStyle name="Normal 4 4 2 3 3 3" xfId="5172" xr:uid="{00000000-0005-0000-0000-00002E150000}"/>
    <cellStyle name="Normal 4 4 2 3 3 3 2" xfId="13614" xr:uid="{FA767C09-7249-40F5-8EC9-E521B5515C2E}"/>
    <cellStyle name="Normal 4 4 2 3 3 4" xfId="9396" xr:uid="{593D98A7-1374-494B-AF7F-ECD0161519D0}"/>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F15D6A07-E633-48D5-8B99-D5DE2A01827A}"/>
    <cellStyle name="Normal 4 4 2 3 4 2 3" xfId="11954" xr:uid="{939A8BDA-BA37-46CE-961A-95EBD76D1FF8}"/>
    <cellStyle name="Normal 4 4 2 3 4 3" xfId="5585" xr:uid="{00000000-0005-0000-0000-000032150000}"/>
    <cellStyle name="Normal 4 4 2 3 4 3 2" xfId="14027" xr:uid="{560B2651-D586-4ED4-9B3C-0B14F9A41A3C}"/>
    <cellStyle name="Normal 4 4 2 3 4 4" xfId="9809" xr:uid="{758059D2-3A82-4DC3-8A35-C321BD549610}"/>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3F4221F2-7F4D-4BC0-8319-640333BF7324}"/>
    <cellStyle name="Normal 4 4 2 3 5 2 3" xfId="12367" xr:uid="{66A234EC-3041-413A-9CD6-0989F546FC4A}"/>
    <cellStyle name="Normal 4 4 2 3 5 3" xfId="5998" xr:uid="{00000000-0005-0000-0000-000036150000}"/>
    <cellStyle name="Normal 4 4 2 3 5 3 2" xfId="14440" xr:uid="{E8A1BD44-4A7A-451A-92D7-232AE09BACF8}"/>
    <cellStyle name="Normal 4 4 2 3 5 4" xfId="10222" xr:uid="{60FF6DAA-59F8-4B3F-8629-17A6CA8E55FF}"/>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422A6C2E-1DB7-4F68-967A-DD65896A4386}"/>
    <cellStyle name="Normal 4 4 2 3 6 2 3" xfId="12780" xr:uid="{242DED92-9A2D-4C4E-AEB0-97ECC9CA71B6}"/>
    <cellStyle name="Normal 4 4 2 3 6 3" xfId="6411" xr:uid="{00000000-0005-0000-0000-00003A150000}"/>
    <cellStyle name="Normal 4 4 2 3 6 3 2" xfId="14853" xr:uid="{FB901358-FA91-4105-A61D-CCF62333F4C7}"/>
    <cellStyle name="Normal 4 4 2 3 6 4" xfId="10635" xr:uid="{69E2C086-DA52-4272-8269-D6E6F602543E}"/>
    <cellStyle name="Normal 4 4 2 3 7" xfId="2540" xr:uid="{00000000-0005-0000-0000-00003B150000}"/>
    <cellStyle name="Normal 4 4 2 3 7 2" xfId="6824" xr:uid="{00000000-0005-0000-0000-00003C150000}"/>
    <cellStyle name="Normal 4 4 2 3 7 2 2" xfId="15266" xr:uid="{F1674C4F-C9A6-4D8B-9A39-8A586502DC43}"/>
    <cellStyle name="Normal 4 4 2 3 7 3" xfId="11048" xr:uid="{951F721C-56BF-421B-A0D9-8D3744350B33}"/>
    <cellStyle name="Normal 4 4 2 3 8" xfId="4759" xr:uid="{00000000-0005-0000-0000-00003D150000}"/>
    <cellStyle name="Normal 4 4 2 3 8 2" xfId="13201" xr:uid="{53C84F65-43A3-4769-8D99-EFDB666A1D03}"/>
    <cellStyle name="Normal 4 4 2 3 9" xfId="8983" xr:uid="{73F2BADF-1CDC-492A-A24E-01C51F2EFB32}"/>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7D442C92-E3E4-44A5-87BC-F4CFD0115B75}"/>
    <cellStyle name="Normal 4 4 2 4 2 2 3" xfId="11543" xr:uid="{E1C6DDEF-3958-49C3-B809-968BA24A52F7}"/>
    <cellStyle name="Normal 4 4 2 4 2 3" xfId="5174" xr:uid="{00000000-0005-0000-0000-000042150000}"/>
    <cellStyle name="Normal 4 4 2 4 2 3 2" xfId="13616" xr:uid="{54DBF4F1-0F35-4148-BAE4-792F0541435A}"/>
    <cellStyle name="Normal 4 4 2 4 2 4" xfId="9398" xr:uid="{B583C478-FF0D-47E4-BCF7-6110BA04294D}"/>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74D27FEA-E9CB-4A5F-BCE4-63E95A42EE07}"/>
    <cellStyle name="Normal 4 4 2 4 3 2 3" xfId="11956" xr:uid="{09B47CF6-7589-467B-8282-AF5135773AE5}"/>
    <cellStyle name="Normal 4 4 2 4 3 3" xfId="5587" xr:uid="{00000000-0005-0000-0000-000046150000}"/>
    <cellStyle name="Normal 4 4 2 4 3 3 2" xfId="14029" xr:uid="{4FF2A362-7924-452D-B2DC-F6E8280FFFEE}"/>
    <cellStyle name="Normal 4 4 2 4 3 4" xfId="9811" xr:uid="{75FABD1E-BFCD-4252-B534-9ADDF05D3D2D}"/>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171288E0-8869-4F03-9993-EE9D88EB7E1C}"/>
    <cellStyle name="Normal 4 4 2 4 4 2 3" xfId="12369" xr:uid="{30860D77-5871-44FF-A181-D25D11A59723}"/>
    <cellStyle name="Normal 4 4 2 4 4 3" xfId="6000" xr:uid="{00000000-0005-0000-0000-00004A150000}"/>
    <cellStyle name="Normal 4 4 2 4 4 3 2" xfId="14442" xr:uid="{3F66682A-B9F5-4B12-B241-77739387A95E}"/>
    <cellStyle name="Normal 4 4 2 4 4 4" xfId="10224" xr:uid="{FDB2F867-C0F5-4A0A-8A6C-64C1167C9AF9}"/>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D01DAAA9-8916-472F-81AA-B58CD7102B34}"/>
    <cellStyle name="Normal 4 4 2 4 5 2 3" xfId="12782" xr:uid="{03559142-DF5E-4027-8559-08C121E803DD}"/>
    <cellStyle name="Normal 4 4 2 4 5 3" xfId="6413" xr:uid="{00000000-0005-0000-0000-00004E150000}"/>
    <cellStyle name="Normal 4 4 2 4 5 3 2" xfId="14855" xr:uid="{BC16B156-B765-4551-9711-5396A08797CE}"/>
    <cellStyle name="Normal 4 4 2 4 5 4" xfId="10637" xr:uid="{D007E2EB-3903-47E5-870C-EBEEB8DF2090}"/>
    <cellStyle name="Normal 4 4 2 4 6" xfId="2542" xr:uid="{00000000-0005-0000-0000-00004F150000}"/>
    <cellStyle name="Normal 4 4 2 4 6 2" xfId="6826" xr:uid="{00000000-0005-0000-0000-000050150000}"/>
    <cellStyle name="Normal 4 4 2 4 6 2 2" xfId="15268" xr:uid="{CD26BA5D-781D-425C-A18C-559A9B9DBCA2}"/>
    <cellStyle name="Normal 4 4 2 4 6 3" xfId="11050" xr:uid="{80A1DA94-C6A5-44D7-B7ED-D84BBB549B41}"/>
    <cellStyle name="Normal 4 4 2 4 7" xfId="4761" xr:uid="{00000000-0005-0000-0000-000051150000}"/>
    <cellStyle name="Normal 4 4 2 4 7 2" xfId="13203" xr:uid="{BA90FEF8-1429-469B-8A49-67B4CA1EE472}"/>
    <cellStyle name="Normal 4 4 2 4 8" xfId="8985" xr:uid="{4ABEF8CA-1888-42C4-860B-72DB6A43F1CD}"/>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576D0DDE-BC37-4B54-BCD0-5D544C5698A6}"/>
    <cellStyle name="Normal 4 4 2 5 2 3" xfId="11536" xr:uid="{ECB26404-6038-49FD-BA0A-30FD8B067427}"/>
    <cellStyle name="Normal 4 4 2 5 3" xfId="5167" xr:uid="{00000000-0005-0000-0000-000055150000}"/>
    <cellStyle name="Normal 4 4 2 5 3 2" xfId="13609" xr:uid="{724E3EDD-4622-4D06-A46F-F71A933A6FEF}"/>
    <cellStyle name="Normal 4 4 2 5 4" xfId="9391" xr:uid="{52C094D8-97C2-47CC-BD60-2CDC4FFF9498}"/>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A332F0C2-9E70-4C35-908E-E3424F1D0159}"/>
    <cellStyle name="Normal 4 4 2 6 2 3" xfId="11949" xr:uid="{F82AF50F-8222-43B6-9A73-8629626608F7}"/>
    <cellStyle name="Normal 4 4 2 6 3" xfId="5580" xr:uid="{00000000-0005-0000-0000-000059150000}"/>
    <cellStyle name="Normal 4 4 2 6 3 2" xfId="14022" xr:uid="{573C5DCD-34A8-4A5B-B600-6B87D2A2797F}"/>
    <cellStyle name="Normal 4 4 2 6 4" xfId="9804" xr:uid="{F20D8934-6A6A-4F15-9A2F-8860F80388AD}"/>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20A1DF44-2820-49B3-B3AE-5BB225E67354}"/>
    <cellStyle name="Normal 4 4 2 7 2 3" xfId="12362" xr:uid="{790EA7A4-F667-4006-9A2C-F616FBBB914F}"/>
    <cellStyle name="Normal 4 4 2 7 3" xfId="5993" xr:uid="{00000000-0005-0000-0000-00005D150000}"/>
    <cellStyle name="Normal 4 4 2 7 3 2" xfId="14435" xr:uid="{D920138C-E822-4DB7-859A-CD3A4DE2BF98}"/>
    <cellStyle name="Normal 4 4 2 7 4" xfId="10217" xr:uid="{E8490225-9182-40B2-A651-AE754507A4B5}"/>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FAC5C962-9628-4D11-85B8-A2DC10593AAF}"/>
    <cellStyle name="Normal 4 4 2 8 2 3" xfId="12775" xr:uid="{B1A568F8-F245-4899-AE8B-279259E72117}"/>
    <cellStyle name="Normal 4 4 2 8 3" xfId="6406" xr:uid="{00000000-0005-0000-0000-000061150000}"/>
    <cellStyle name="Normal 4 4 2 8 3 2" xfId="14848" xr:uid="{67F5CA92-A59A-4EA4-BDB0-5DA11B5A2E03}"/>
    <cellStyle name="Normal 4 4 2 8 4" xfId="10630" xr:uid="{60204981-19D8-4268-8B63-E1BC4B0033DC}"/>
    <cellStyle name="Normal 4 4 2 9" xfId="2535" xr:uid="{00000000-0005-0000-0000-000062150000}"/>
    <cellStyle name="Normal 4 4 2 9 2" xfId="6819" xr:uid="{00000000-0005-0000-0000-000063150000}"/>
    <cellStyle name="Normal 4 4 2 9 2 2" xfId="15261" xr:uid="{AC13A00E-6785-4DB0-99BB-1B79F39DDEDE}"/>
    <cellStyle name="Normal 4 4 2 9 3" xfId="11043" xr:uid="{A3DEB0D3-9C8C-4DB7-88C5-E59BC201BE39}"/>
    <cellStyle name="Normal 4 4 3" xfId="387" xr:uid="{00000000-0005-0000-0000-000064150000}"/>
    <cellStyle name="Normal 4 4 3 10" xfId="8986" xr:uid="{482F49FB-85FE-4206-B13E-D2A61186DCF7}"/>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7B879270-3B5A-4AE0-893B-665857E780DE}"/>
    <cellStyle name="Normal 4 4 3 2 2 2 2 3" xfId="11546" xr:uid="{2E30FD5C-401A-4F63-BC99-471C03A21F2A}"/>
    <cellStyle name="Normal 4 4 3 2 2 2 3" xfId="5177" xr:uid="{00000000-0005-0000-0000-00006A150000}"/>
    <cellStyle name="Normal 4 4 3 2 2 2 3 2" xfId="13619" xr:uid="{DD475F39-F8F1-46BC-B234-4FBB96230ADB}"/>
    <cellStyle name="Normal 4 4 3 2 2 2 4" xfId="9401" xr:uid="{B86A08F1-5C9B-4EC3-834D-91EF22C5D801}"/>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DC3B864F-6496-4A1F-9103-6412529F0759}"/>
    <cellStyle name="Normal 4 4 3 2 2 3 2 3" xfId="11959" xr:uid="{B9889234-45DD-4993-A2D7-320A4934E6DF}"/>
    <cellStyle name="Normal 4 4 3 2 2 3 3" xfId="5590" xr:uid="{00000000-0005-0000-0000-00006E150000}"/>
    <cellStyle name="Normal 4 4 3 2 2 3 3 2" xfId="14032" xr:uid="{4C48AB04-E2A3-42DF-A5A9-9CDE0B86BAB5}"/>
    <cellStyle name="Normal 4 4 3 2 2 3 4" xfId="9814" xr:uid="{5F236086-D972-4992-9C1E-89638DAEC1B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7967413A-25A4-4B67-AF86-53BC84024AB8}"/>
    <cellStyle name="Normal 4 4 3 2 2 4 2 3" xfId="12372" xr:uid="{AB18EE1F-BB50-4BED-8B07-8B655A38A722}"/>
    <cellStyle name="Normal 4 4 3 2 2 4 3" xfId="6003" xr:uid="{00000000-0005-0000-0000-000072150000}"/>
    <cellStyle name="Normal 4 4 3 2 2 4 3 2" xfId="14445" xr:uid="{E9DA2441-FD60-4382-9543-EE795F3AB290}"/>
    <cellStyle name="Normal 4 4 3 2 2 4 4" xfId="10227" xr:uid="{33B43FCB-269B-47AE-9B25-53D0F82CD5C1}"/>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DC814180-4E41-4035-A556-3674800E1754}"/>
    <cellStyle name="Normal 4 4 3 2 2 5 2 3" xfId="12785" xr:uid="{51773DF1-5BC9-4E65-A472-644C15C65B3F}"/>
    <cellStyle name="Normal 4 4 3 2 2 5 3" xfId="6416" xr:uid="{00000000-0005-0000-0000-000076150000}"/>
    <cellStyle name="Normal 4 4 3 2 2 5 3 2" xfId="14858" xr:uid="{7D4A0A75-6E3E-4EB0-AF3E-06722A0294F5}"/>
    <cellStyle name="Normal 4 4 3 2 2 5 4" xfId="10640" xr:uid="{92F5E829-AA3A-41B6-8E9C-92FEE945F4C1}"/>
    <cellStyle name="Normal 4 4 3 2 2 6" xfId="2545" xr:uid="{00000000-0005-0000-0000-000077150000}"/>
    <cellStyle name="Normal 4 4 3 2 2 6 2" xfId="6829" xr:uid="{00000000-0005-0000-0000-000078150000}"/>
    <cellStyle name="Normal 4 4 3 2 2 6 2 2" xfId="15271" xr:uid="{C77B2692-C806-4A0A-8152-0A972CC980FE}"/>
    <cellStyle name="Normal 4 4 3 2 2 6 3" xfId="11053" xr:uid="{C6080C02-C6A0-4CAB-B7C2-E95092CA82A3}"/>
    <cellStyle name="Normal 4 4 3 2 2 7" xfId="4764" xr:uid="{00000000-0005-0000-0000-000079150000}"/>
    <cellStyle name="Normal 4 4 3 2 2 7 2" xfId="13206" xr:uid="{F1194F9E-8732-46D4-AB4B-10A9885C41DD}"/>
    <cellStyle name="Normal 4 4 3 2 2 8" xfId="8988" xr:uid="{A10F362B-086E-4759-9C98-F72C6E96EEA9}"/>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CCCEE3AF-0006-4D61-A167-74BB063569E2}"/>
    <cellStyle name="Normal 4 4 3 2 3 2 3" xfId="11545" xr:uid="{A912A9D1-A590-4D05-B0D7-C108B04EB6A7}"/>
    <cellStyle name="Normal 4 4 3 2 3 3" xfId="5176" xr:uid="{00000000-0005-0000-0000-00007D150000}"/>
    <cellStyle name="Normal 4 4 3 2 3 3 2" xfId="13618" xr:uid="{54820A30-4CCB-4142-9866-6D23C861A7FC}"/>
    <cellStyle name="Normal 4 4 3 2 3 4" xfId="9400" xr:uid="{F9D3DB9C-DCE8-4CC4-B94B-3FC46E5248E8}"/>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AA726DD0-CFA4-439D-AB76-84FB0B9E0AB4}"/>
    <cellStyle name="Normal 4 4 3 2 4 2 3" xfId="11958" xr:uid="{E27F8093-D948-40BA-8A0C-5BAC902C3514}"/>
    <cellStyle name="Normal 4 4 3 2 4 3" xfId="5589" xr:uid="{00000000-0005-0000-0000-000081150000}"/>
    <cellStyle name="Normal 4 4 3 2 4 3 2" xfId="14031" xr:uid="{4BD107FA-D69C-4D81-80C6-33D02F7428F2}"/>
    <cellStyle name="Normal 4 4 3 2 4 4" xfId="9813" xr:uid="{52DEAF2F-1BB3-494E-AAD1-FB20E7EC28B2}"/>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712E26F5-3A6F-417B-8542-DA4610C311E0}"/>
    <cellStyle name="Normal 4 4 3 2 5 2 3" xfId="12371" xr:uid="{51A025CF-4F17-41E2-98E8-DF1925A7AAC0}"/>
    <cellStyle name="Normal 4 4 3 2 5 3" xfId="6002" xr:uid="{00000000-0005-0000-0000-000085150000}"/>
    <cellStyle name="Normal 4 4 3 2 5 3 2" xfId="14444" xr:uid="{6B6DB0CE-417F-448B-8255-AF1AFA1568A0}"/>
    <cellStyle name="Normal 4 4 3 2 5 4" xfId="10226" xr:uid="{A9BD05F5-9398-4792-8F3C-B37ECDB4B3F7}"/>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8D64DBF8-2A22-4FD3-8F23-0A585E566C0B}"/>
    <cellStyle name="Normal 4 4 3 2 6 2 3" xfId="12784" xr:uid="{4E1DA3C6-C080-41BC-9A49-B9FD363ABDA2}"/>
    <cellStyle name="Normal 4 4 3 2 6 3" xfId="6415" xr:uid="{00000000-0005-0000-0000-000089150000}"/>
    <cellStyle name="Normal 4 4 3 2 6 3 2" xfId="14857" xr:uid="{ECC68964-8A25-42CD-9022-E545FB08F4DC}"/>
    <cellStyle name="Normal 4 4 3 2 6 4" xfId="10639" xr:uid="{60432D7A-83C9-4CEC-9A02-C81549F66468}"/>
    <cellStyle name="Normal 4 4 3 2 7" xfId="2544" xr:uid="{00000000-0005-0000-0000-00008A150000}"/>
    <cellStyle name="Normal 4 4 3 2 7 2" xfId="6828" xr:uid="{00000000-0005-0000-0000-00008B150000}"/>
    <cellStyle name="Normal 4 4 3 2 7 2 2" xfId="15270" xr:uid="{40D97535-B8C9-4F7B-BE91-8251760A209E}"/>
    <cellStyle name="Normal 4 4 3 2 7 3" xfId="11052" xr:uid="{1BA7003D-B775-4D91-8E3C-D3C9AF40AF6F}"/>
    <cellStyle name="Normal 4 4 3 2 8" xfId="4763" xr:uid="{00000000-0005-0000-0000-00008C150000}"/>
    <cellStyle name="Normal 4 4 3 2 8 2" xfId="13205" xr:uid="{C9BEE442-4DA7-4410-9F19-F064FBE780E4}"/>
    <cellStyle name="Normal 4 4 3 2 9" xfId="8987" xr:uid="{465EAF65-45D1-4F17-A4C6-1557FD2D0EAD}"/>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27E43E9B-178F-4E88-8FAC-0123D21364C2}"/>
    <cellStyle name="Normal 4 4 3 3 2 2 3" xfId="11547" xr:uid="{3EFAC3B4-C37A-42FB-8AB6-9095E03D0406}"/>
    <cellStyle name="Normal 4 4 3 3 2 3" xfId="5178" xr:uid="{00000000-0005-0000-0000-000091150000}"/>
    <cellStyle name="Normal 4 4 3 3 2 3 2" xfId="13620" xr:uid="{30A435EC-3D29-4946-9AD9-D590DD87A6C2}"/>
    <cellStyle name="Normal 4 4 3 3 2 4" xfId="9402" xr:uid="{64066D6A-A87E-4DD0-9654-45F1C929632B}"/>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56E50BA1-5F53-436B-9610-CE9EC623F6EC}"/>
    <cellStyle name="Normal 4 4 3 3 3 2 3" xfId="11960" xr:uid="{B8C0A185-7E27-4F0A-ADF0-47D9CBBB09ED}"/>
    <cellStyle name="Normal 4 4 3 3 3 3" xfId="5591" xr:uid="{00000000-0005-0000-0000-000095150000}"/>
    <cellStyle name="Normal 4 4 3 3 3 3 2" xfId="14033" xr:uid="{CBEAFC61-038F-4374-803A-1870E87D6701}"/>
    <cellStyle name="Normal 4 4 3 3 3 4" xfId="9815" xr:uid="{06240A77-4CE6-4EE9-953D-8AC6CDB679F3}"/>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5047B6FE-55F1-4A7C-A0CF-3CAD3A580ED3}"/>
    <cellStyle name="Normal 4 4 3 3 4 2 3" xfId="12373" xr:uid="{3E60868B-79CA-4AB1-9E6C-06FAC0785D4B}"/>
    <cellStyle name="Normal 4 4 3 3 4 3" xfId="6004" xr:uid="{00000000-0005-0000-0000-000099150000}"/>
    <cellStyle name="Normal 4 4 3 3 4 3 2" xfId="14446" xr:uid="{3D508F2B-25F5-4F15-939E-3B8279093278}"/>
    <cellStyle name="Normal 4 4 3 3 4 4" xfId="10228" xr:uid="{F8EA4D3F-0D93-495F-B8DF-08FCF8C7488F}"/>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84F82D1F-3A6D-4B90-AA75-E5A2119AA71D}"/>
    <cellStyle name="Normal 4 4 3 3 5 2 3" xfId="12786" xr:uid="{FC76B796-9C12-46D4-9F2C-ACCE72DF7D6C}"/>
    <cellStyle name="Normal 4 4 3 3 5 3" xfId="6417" xr:uid="{00000000-0005-0000-0000-00009D150000}"/>
    <cellStyle name="Normal 4 4 3 3 5 3 2" xfId="14859" xr:uid="{19029C5C-60D0-46C3-B9BA-966AECBC3D1A}"/>
    <cellStyle name="Normal 4 4 3 3 5 4" xfId="10641" xr:uid="{1D1FE0CD-5E55-474A-B542-BC8A20CC30CB}"/>
    <cellStyle name="Normal 4 4 3 3 6" xfId="2546" xr:uid="{00000000-0005-0000-0000-00009E150000}"/>
    <cellStyle name="Normal 4 4 3 3 6 2" xfId="6830" xr:uid="{00000000-0005-0000-0000-00009F150000}"/>
    <cellStyle name="Normal 4 4 3 3 6 2 2" xfId="15272" xr:uid="{CFF626F7-B7FF-4297-96BD-1A884F75FA14}"/>
    <cellStyle name="Normal 4 4 3 3 6 3" xfId="11054" xr:uid="{633886C0-9DA7-484C-89BE-90C188E62226}"/>
    <cellStyle name="Normal 4 4 3 3 7" xfId="4765" xr:uid="{00000000-0005-0000-0000-0000A0150000}"/>
    <cellStyle name="Normal 4 4 3 3 7 2" xfId="13207" xr:uid="{DDACF2FA-52DC-4C4F-8D8D-6A192571990F}"/>
    <cellStyle name="Normal 4 4 3 3 8" xfId="8989" xr:uid="{C6E76E7E-2E5C-4636-939D-4A84D0C4ADD7}"/>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643A60C4-D8AD-4D8C-8F35-116DA77350B2}"/>
    <cellStyle name="Normal 4 4 3 4 2 3" xfId="11544" xr:uid="{D30F5B0C-B920-4B0A-A1B9-53B9577AF4D9}"/>
    <cellStyle name="Normal 4 4 3 4 3" xfId="5175" xr:uid="{00000000-0005-0000-0000-0000A4150000}"/>
    <cellStyle name="Normal 4 4 3 4 3 2" xfId="13617" xr:uid="{FF26FEB3-4AD7-40AC-9A7D-A6E8B10FFEC5}"/>
    <cellStyle name="Normal 4 4 3 4 4" xfId="9399" xr:uid="{43890F41-38F3-4B72-8E9E-581033B81A3B}"/>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D0CE2EE0-BA92-49DF-A1D7-4A9A7D84A5CE}"/>
    <cellStyle name="Normal 4 4 3 5 2 3" xfId="11957" xr:uid="{E86C5EB7-647E-42C4-83D3-A7FA3E83AC75}"/>
    <cellStyle name="Normal 4 4 3 5 3" xfId="5588" xr:uid="{00000000-0005-0000-0000-0000A8150000}"/>
    <cellStyle name="Normal 4 4 3 5 3 2" xfId="14030" xr:uid="{8032EBA8-F9CF-4981-86FC-79B5B0197B97}"/>
    <cellStyle name="Normal 4 4 3 5 4" xfId="9812" xr:uid="{9537667A-0A16-4761-B99A-FE55AB742410}"/>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4574C223-4A60-4D17-9A5A-AA154D7F51A8}"/>
    <cellStyle name="Normal 4 4 3 6 2 3" xfId="12370" xr:uid="{39A5E552-91A4-423C-AE25-E144AB8D8F45}"/>
    <cellStyle name="Normal 4 4 3 6 3" xfId="6001" xr:uid="{00000000-0005-0000-0000-0000AC150000}"/>
    <cellStyle name="Normal 4 4 3 6 3 2" xfId="14443" xr:uid="{3B06258F-0147-44BC-8106-3B115128E518}"/>
    <cellStyle name="Normal 4 4 3 6 4" xfId="10225" xr:uid="{62152159-7FAE-4625-8047-29C5DF16FB96}"/>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C02E0CA5-B87F-4A47-9E50-B3E91D8BA08A}"/>
    <cellStyle name="Normal 4 4 3 7 2 3" xfId="12783" xr:uid="{206E37DC-AA1E-4F62-A9FF-EFE0D9CA16CF}"/>
    <cellStyle name="Normal 4 4 3 7 3" xfId="6414" xr:uid="{00000000-0005-0000-0000-0000B0150000}"/>
    <cellStyle name="Normal 4 4 3 7 3 2" xfId="14856" xr:uid="{9DDB03F2-0A43-4660-987C-26495C4D6511}"/>
    <cellStyle name="Normal 4 4 3 7 4" xfId="10638" xr:uid="{0AE79651-74F6-466B-9CEF-A6A61D1A3384}"/>
    <cellStyle name="Normal 4 4 3 8" xfId="2543" xr:uid="{00000000-0005-0000-0000-0000B1150000}"/>
    <cellStyle name="Normal 4 4 3 8 2" xfId="6827" xr:uid="{00000000-0005-0000-0000-0000B2150000}"/>
    <cellStyle name="Normal 4 4 3 8 2 2" xfId="15269" xr:uid="{B8DB3F02-7C92-485E-8456-D34A8B03D420}"/>
    <cellStyle name="Normal 4 4 3 8 3" xfId="11051" xr:uid="{E129E44F-BAF4-4AA3-8532-73118F4A4DAC}"/>
    <cellStyle name="Normal 4 4 3 9" xfId="4762" xr:uid="{00000000-0005-0000-0000-0000B3150000}"/>
    <cellStyle name="Normal 4 4 3 9 2" xfId="13204" xr:uid="{1ED30829-3A07-4ED4-9A48-DB80EE768563}"/>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E6967C2C-5AED-40AC-AA3F-E5CCA022E9E4}"/>
    <cellStyle name="Normal 4 4 4 2 2 2 3" xfId="11549" xr:uid="{C972FCC8-B46E-4C2C-B13F-9CD92D744D24}"/>
    <cellStyle name="Normal 4 4 4 2 2 3" xfId="5180" xr:uid="{00000000-0005-0000-0000-0000B9150000}"/>
    <cellStyle name="Normal 4 4 4 2 2 3 2" xfId="13622" xr:uid="{59D6A566-7E7D-43AF-8418-E4A00F8FC03E}"/>
    <cellStyle name="Normal 4 4 4 2 2 4" xfId="9404" xr:uid="{AB09BF78-26B0-40BD-AAC9-5071E489AFA5}"/>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A893755E-E65B-4935-B195-386D59A7669A}"/>
    <cellStyle name="Normal 4 4 4 2 3 2 3" xfId="11962" xr:uid="{555B60E5-18DB-4E56-ACCF-1E022ED866D8}"/>
    <cellStyle name="Normal 4 4 4 2 3 3" xfId="5593" xr:uid="{00000000-0005-0000-0000-0000BD150000}"/>
    <cellStyle name="Normal 4 4 4 2 3 3 2" xfId="14035" xr:uid="{C0C0CB81-6A9D-496E-9D0B-13855F7C750D}"/>
    <cellStyle name="Normal 4 4 4 2 3 4" xfId="9817" xr:uid="{DD95E089-C176-4EF5-A964-C0E74D24BF30}"/>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FFF7A7C4-213B-4BEF-AA68-F05A32DEC749}"/>
    <cellStyle name="Normal 4 4 4 2 4 2 3" xfId="12375" xr:uid="{0E3EDC32-0830-4297-A75C-9C055E125C0B}"/>
    <cellStyle name="Normal 4 4 4 2 4 3" xfId="6006" xr:uid="{00000000-0005-0000-0000-0000C1150000}"/>
    <cellStyle name="Normal 4 4 4 2 4 3 2" xfId="14448" xr:uid="{02C39DF0-E077-4A43-809F-A175B6CFFE81}"/>
    <cellStyle name="Normal 4 4 4 2 4 4" xfId="10230" xr:uid="{28545F10-0CB3-45DE-8E71-F5065A6E87E1}"/>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92574006-9991-4B52-94B9-A50446059649}"/>
    <cellStyle name="Normal 4 4 4 2 5 2 3" xfId="12788" xr:uid="{0E51C1FB-AD79-48D0-AA24-E55DFFA30F2A}"/>
    <cellStyle name="Normal 4 4 4 2 5 3" xfId="6419" xr:uid="{00000000-0005-0000-0000-0000C5150000}"/>
    <cellStyle name="Normal 4 4 4 2 5 3 2" xfId="14861" xr:uid="{4053C8DF-B333-45FD-AE33-209A1FC7BCE5}"/>
    <cellStyle name="Normal 4 4 4 2 5 4" xfId="10643" xr:uid="{64C521C4-A077-477D-9752-A0E6AC013CE1}"/>
    <cellStyle name="Normal 4 4 4 2 6" xfId="2548" xr:uid="{00000000-0005-0000-0000-0000C6150000}"/>
    <cellStyle name="Normal 4 4 4 2 6 2" xfId="6832" xr:uid="{00000000-0005-0000-0000-0000C7150000}"/>
    <cellStyle name="Normal 4 4 4 2 6 2 2" xfId="15274" xr:uid="{D9D74DE2-D186-4A2A-8BB8-F1F47DD015D3}"/>
    <cellStyle name="Normal 4 4 4 2 6 3" xfId="11056" xr:uid="{CA524483-F727-49DE-A0CE-9A355D60D061}"/>
    <cellStyle name="Normal 4 4 4 2 7" xfId="4767" xr:uid="{00000000-0005-0000-0000-0000C8150000}"/>
    <cellStyle name="Normal 4 4 4 2 7 2" xfId="13209" xr:uid="{34672AC0-F5E2-4E93-8D2C-E3BAE94E6E06}"/>
    <cellStyle name="Normal 4 4 4 2 8" xfId="8991" xr:uid="{5FCD3498-D727-4B44-BD8D-A5DCE152CED7}"/>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28F1C20A-EE17-499E-ADF0-6F745942EE72}"/>
    <cellStyle name="Normal 4 4 4 3 2 3" xfId="11548" xr:uid="{F6ACD83C-FB2A-42A0-9679-21D461A5B262}"/>
    <cellStyle name="Normal 4 4 4 3 3" xfId="5179" xr:uid="{00000000-0005-0000-0000-0000CC150000}"/>
    <cellStyle name="Normal 4 4 4 3 3 2" xfId="13621" xr:uid="{C7A0DBA5-4974-42C1-9902-F39CB702186B}"/>
    <cellStyle name="Normal 4 4 4 3 4" xfId="9403" xr:uid="{A5A91A2D-942B-4128-8A47-B79F6DE86866}"/>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3565B9F3-3C09-42FA-95B8-6714D461B177}"/>
    <cellStyle name="Normal 4 4 4 4 2 3" xfId="11961" xr:uid="{8D4B26B6-3001-46B5-961C-FA1B208274DF}"/>
    <cellStyle name="Normal 4 4 4 4 3" xfId="5592" xr:uid="{00000000-0005-0000-0000-0000D0150000}"/>
    <cellStyle name="Normal 4 4 4 4 3 2" xfId="14034" xr:uid="{D52DC60D-6704-48F6-9DED-F8A682837226}"/>
    <cellStyle name="Normal 4 4 4 4 4" xfId="9816" xr:uid="{FAEAF1C4-319C-45DE-8DE9-9A5C4EB33E0D}"/>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6E1F8C7B-6A0A-4EA9-94DE-1BD64DCD790C}"/>
    <cellStyle name="Normal 4 4 4 5 2 3" xfId="12374" xr:uid="{B3156949-62FE-4D3F-BDD5-F2B83BF3A98F}"/>
    <cellStyle name="Normal 4 4 4 5 3" xfId="6005" xr:uid="{00000000-0005-0000-0000-0000D4150000}"/>
    <cellStyle name="Normal 4 4 4 5 3 2" xfId="14447" xr:uid="{021061EC-B5A9-45F7-97CE-B0FEAFFD3B3B}"/>
    <cellStyle name="Normal 4 4 4 5 4" xfId="10229" xr:uid="{1EB7DBDD-0EDC-404D-BE14-4A2D87EB4229}"/>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DC22A6F4-3DBD-4386-914E-75CC4679258C}"/>
    <cellStyle name="Normal 4 4 4 6 2 3" xfId="12787" xr:uid="{A70970D1-85AF-4F81-955C-7E1B810EF630}"/>
    <cellStyle name="Normal 4 4 4 6 3" xfId="6418" xr:uid="{00000000-0005-0000-0000-0000D8150000}"/>
    <cellStyle name="Normal 4 4 4 6 3 2" xfId="14860" xr:uid="{BDFF85A9-2694-4FDB-9FA4-8F06945106A0}"/>
    <cellStyle name="Normal 4 4 4 6 4" xfId="10642" xr:uid="{B3D0B644-1B41-4935-9DE7-3CE74F2EA1FE}"/>
    <cellStyle name="Normal 4 4 4 7" xfId="2547" xr:uid="{00000000-0005-0000-0000-0000D9150000}"/>
    <cellStyle name="Normal 4 4 4 7 2" xfId="6831" xr:uid="{00000000-0005-0000-0000-0000DA150000}"/>
    <cellStyle name="Normal 4 4 4 7 2 2" xfId="15273" xr:uid="{15539820-83FE-4372-897A-1998C976E4F4}"/>
    <cellStyle name="Normal 4 4 4 7 3" xfId="11055" xr:uid="{8D443DFF-614B-4FF8-A829-F1EA08780645}"/>
    <cellStyle name="Normal 4 4 4 8" xfId="4766" xr:uid="{00000000-0005-0000-0000-0000DB150000}"/>
    <cellStyle name="Normal 4 4 4 8 2" xfId="13208" xr:uid="{500234C4-EC0A-45D2-9BA0-745D2CF638BC}"/>
    <cellStyle name="Normal 4 4 4 9" xfId="8990" xr:uid="{BAD2B59A-94D6-49B7-8BE3-DE8077B2222B}"/>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DC3E7A68-F4C3-4042-8E5E-0715F9C1240E}"/>
    <cellStyle name="Normal 4 4 5 2 2 3" xfId="11550" xr:uid="{EEAAD157-BA7C-48E5-A8F3-025D88C2C420}"/>
    <cellStyle name="Normal 4 4 5 2 3" xfId="5181" xr:uid="{00000000-0005-0000-0000-0000E0150000}"/>
    <cellStyle name="Normal 4 4 5 2 3 2" xfId="13623" xr:uid="{5397D4F0-7FD2-441B-86DC-C301B18721D0}"/>
    <cellStyle name="Normal 4 4 5 2 4" xfId="9405" xr:uid="{EE3AB408-49E8-4CDF-9D05-7780823C1FA3}"/>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EDD232F9-BC27-4069-9880-893B98DA58F4}"/>
    <cellStyle name="Normal 4 4 5 3 2 3" xfId="11963" xr:uid="{C7F3F23B-5B6E-481D-93B7-7EFCB6845B15}"/>
    <cellStyle name="Normal 4 4 5 3 3" xfId="5594" xr:uid="{00000000-0005-0000-0000-0000E4150000}"/>
    <cellStyle name="Normal 4 4 5 3 3 2" xfId="14036" xr:uid="{5E83E32C-E9E5-4134-AF6D-8CCAF9837A44}"/>
    <cellStyle name="Normal 4 4 5 3 4" xfId="9818" xr:uid="{F8DAA717-74A8-4350-93DF-C39A7F433D69}"/>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FC1202BA-3F7F-4269-8EDD-501FFA87E2BB}"/>
    <cellStyle name="Normal 4 4 5 4 2 3" xfId="12376" xr:uid="{C6CC1A1F-E020-42CD-97A9-351AA940DB79}"/>
    <cellStyle name="Normal 4 4 5 4 3" xfId="6007" xr:uid="{00000000-0005-0000-0000-0000E8150000}"/>
    <cellStyle name="Normal 4 4 5 4 3 2" xfId="14449" xr:uid="{17EC2CD7-C1B3-4295-B071-7C6E06FE1587}"/>
    <cellStyle name="Normal 4 4 5 4 4" xfId="10231" xr:uid="{B8EA7EDC-8350-4E0E-BFA4-2188423ED443}"/>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AEF60B79-746A-483A-9C3F-18C996EE440E}"/>
    <cellStyle name="Normal 4 4 5 5 2 3" xfId="12789" xr:uid="{58AC65F9-63C0-4DA1-B8E0-92AD1A77A53B}"/>
    <cellStyle name="Normal 4 4 5 5 3" xfId="6420" xr:uid="{00000000-0005-0000-0000-0000EC150000}"/>
    <cellStyle name="Normal 4 4 5 5 3 2" xfId="14862" xr:uid="{EB1DA069-1CA9-4DEF-A61D-E334A02C8B89}"/>
    <cellStyle name="Normal 4 4 5 5 4" xfId="10644" xr:uid="{E084A63A-D572-4FBE-B6E8-D4E7896B3D7F}"/>
    <cellStyle name="Normal 4 4 5 6" xfId="2549" xr:uid="{00000000-0005-0000-0000-0000ED150000}"/>
    <cellStyle name="Normal 4 4 5 6 2" xfId="6833" xr:uid="{00000000-0005-0000-0000-0000EE150000}"/>
    <cellStyle name="Normal 4 4 5 6 2 2" xfId="15275" xr:uid="{11C4E8D3-E6A1-4E0D-85E1-367DED678883}"/>
    <cellStyle name="Normal 4 4 5 6 3" xfId="11057" xr:uid="{54971C4D-0A02-4D83-BB75-0AAFF60093AE}"/>
    <cellStyle name="Normal 4 4 5 7" xfId="4768" xr:uid="{00000000-0005-0000-0000-0000EF150000}"/>
    <cellStyle name="Normal 4 4 5 7 2" xfId="13210" xr:uid="{0973B534-1DA8-4B6C-B4E7-33DF2D0397D5}"/>
    <cellStyle name="Normal 4 4 5 8" xfId="8992" xr:uid="{6A095840-6A3E-4C8F-9377-24B597E06569}"/>
    <cellStyle name="Normal 4 4 6" xfId="853" xr:uid="{00000000-0005-0000-0000-0000F0150000}"/>
    <cellStyle name="Normal 4 4 6 2" xfId="3088" xr:uid="{00000000-0005-0000-0000-0000F1150000}"/>
    <cellStyle name="Normal 4 4 6 2 2" xfId="7311" xr:uid="{00000000-0005-0000-0000-0000F2150000}"/>
    <cellStyle name="Normal 4 4 6 2 2 2" xfId="15753" xr:uid="{2F71A29F-A651-4934-A164-9865CF3413D1}"/>
    <cellStyle name="Normal 4 4 6 2 3" xfId="11535" xr:uid="{41D83FF3-5729-4E49-BCEA-D39E3A4BDFF3}"/>
    <cellStyle name="Normal 4 4 6 3" xfId="5166" xr:uid="{00000000-0005-0000-0000-0000F3150000}"/>
    <cellStyle name="Normal 4 4 6 3 2" xfId="13608" xr:uid="{51222037-5857-4B5B-8BBE-54FA3D369B51}"/>
    <cellStyle name="Normal 4 4 6 4" xfId="9390" xr:uid="{FB431E97-B840-4153-A16B-2590F04E208A}"/>
    <cellStyle name="Normal 4 4 7" xfId="1271" xr:uid="{00000000-0005-0000-0000-0000F4150000}"/>
    <cellStyle name="Normal 4 4 7 2" xfId="3501" xr:uid="{00000000-0005-0000-0000-0000F5150000}"/>
    <cellStyle name="Normal 4 4 7 2 2" xfId="7724" xr:uid="{00000000-0005-0000-0000-0000F6150000}"/>
    <cellStyle name="Normal 4 4 7 2 2 2" xfId="16166" xr:uid="{1018F4DB-CD1E-45B9-98C8-8AD961F04F2D}"/>
    <cellStyle name="Normal 4 4 7 2 3" xfId="11948" xr:uid="{ADB18ECD-3BCD-437B-AF1D-A17B54309EA3}"/>
    <cellStyle name="Normal 4 4 7 3" xfId="5579" xr:uid="{00000000-0005-0000-0000-0000F7150000}"/>
    <cellStyle name="Normal 4 4 7 3 2" xfId="14021" xr:uid="{58CB65DD-CB27-4FF9-8332-86D51283298A}"/>
    <cellStyle name="Normal 4 4 7 4" xfId="9803" xr:uid="{77AFD655-6EE2-4EAD-9C27-33110967EACA}"/>
    <cellStyle name="Normal 4 4 8" xfId="1684" xr:uid="{00000000-0005-0000-0000-0000F8150000}"/>
    <cellStyle name="Normal 4 4 8 2" xfId="3914" xr:uid="{00000000-0005-0000-0000-0000F9150000}"/>
    <cellStyle name="Normal 4 4 8 2 2" xfId="8137" xr:uid="{00000000-0005-0000-0000-0000FA150000}"/>
    <cellStyle name="Normal 4 4 8 2 2 2" xfId="16579" xr:uid="{FA93101C-8F4B-4A1B-9AF5-780911829D9B}"/>
    <cellStyle name="Normal 4 4 8 2 3" xfId="12361" xr:uid="{6A33082C-AA91-406A-9C92-C1E0FD248481}"/>
    <cellStyle name="Normal 4 4 8 3" xfId="5992" xr:uid="{00000000-0005-0000-0000-0000FB150000}"/>
    <cellStyle name="Normal 4 4 8 3 2" xfId="14434" xr:uid="{AE70A2A4-61B3-4082-B7F8-4358DE9C6BD6}"/>
    <cellStyle name="Normal 4 4 8 4" xfId="10216" xr:uid="{BF465B7A-08CB-44CB-BE5E-AD91C3F23F2D}"/>
    <cellStyle name="Normal 4 4 9" xfId="2098" xr:uid="{00000000-0005-0000-0000-0000FC150000}"/>
    <cellStyle name="Normal 4 4 9 2" xfId="4327" xr:uid="{00000000-0005-0000-0000-0000FD150000}"/>
    <cellStyle name="Normal 4 4 9 2 2" xfId="8550" xr:uid="{00000000-0005-0000-0000-0000FE150000}"/>
    <cellStyle name="Normal 4 4 9 2 2 2" xfId="16992" xr:uid="{44BDAEC4-41F9-4BA1-9327-18068ABC75D1}"/>
    <cellStyle name="Normal 4 4 9 2 3" xfId="12774" xr:uid="{3D8A53BE-57AD-4763-A522-2AB6157EA692}"/>
    <cellStyle name="Normal 4 4 9 3" xfId="6405" xr:uid="{00000000-0005-0000-0000-0000FF150000}"/>
    <cellStyle name="Normal 4 4 9 3 2" xfId="14847" xr:uid="{4C2D0CC0-91BB-43DC-A2D4-AEC52ED5E675}"/>
    <cellStyle name="Normal 4 4 9 4" xfId="10629" xr:uid="{DCAEF86D-FE2A-4E67-9CDF-F09143516527}"/>
    <cellStyle name="Normal 4 5" xfId="394" xr:uid="{00000000-0005-0000-0000-000000160000}"/>
    <cellStyle name="Normal 4 6" xfId="395" xr:uid="{00000000-0005-0000-0000-000001160000}"/>
    <cellStyle name="Normal 4 6 10" xfId="4769" xr:uid="{00000000-0005-0000-0000-000002160000}"/>
    <cellStyle name="Normal 4 6 10 2" xfId="13211" xr:uid="{1623C8D2-3020-4E8E-B895-CCC6FE37729F}"/>
    <cellStyle name="Normal 4 6 11" xfId="8993" xr:uid="{47940C3A-9FDF-46B5-BADC-469F82B24CE5}"/>
    <cellStyle name="Normal 4 6 2" xfId="396" xr:uid="{00000000-0005-0000-0000-000003160000}"/>
    <cellStyle name="Normal 4 6 2 10" xfId="8994" xr:uid="{08507159-E4A0-4C33-A1D3-272914623CE4}"/>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F7C17EFA-211F-4898-92B2-935D5DDA33FF}"/>
    <cellStyle name="Normal 4 6 2 2 2 2 2 3" xfId="11554" xr:uid="{CD659F5D-58EC-40BC-B5B2-EB1749D59EF1}"/>
    <cellStyle name="Normal 4 6 2 2 2 2 3" xfId="5185" xr:uid="{00000000-0005-0000-0000-000009160000}"/>
    <cellStyle name="Normal 4 6 2 2 2 2 3 2" xfId="13627" xr:uid="{C7021B6A-53B1-4363-9D35-65F9FB7ECAAF}"/>
    <cellStyle name="Normal 4 6 2 2 2 2 4" xfId="9409" xr:uid="{2DCBCA7A-75C7-4912-9D63-639D4F277F1F}"/>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FB37E615-C29B-479A-AD99-6F932803EE75}"/>
    <cellStyle name="Normal 4 6 2 2 2 3 2 3" xfId="11967" xr:uid="{C41BDF60-E0CF-4BE3-BC42-1415AC1F9BBD}"/>
    <cellStyle name="Normal 4 6 2 2 2 3 3" xfId="5598" xr:uid="{00000000-0005-0000-0000-00000D160000}"/>
    <cellStyle name="Normal 4 6 2 2 2 3 3 2" xfId="14040" xr:uid="{0844A363-2B94-4ED0-AE30-EA7C603C8C63}"/>
    <cellStyle name="Normal 4 6 2 2 2 3 4" xfId="9822" xr:uid="{3B115515-891B-4772-981B-EF5AFA93F1DC}"/>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00CFE1C5-1D36-44C7-AC31-05BCDBEC2DD7}"/>
    <cellStyle name="Normal 4 6 2 2 2 4 2 3" xfId="12380" xr:uid="{13A01A84-43D2-4078-B2F9-ED386FE48B96}"/>
    <cellStyle name="Normal 4 6 2 2 2 4 3" xfId="6011" xr:uid="{00000000-0005-0000-0000-000011160000}"/>
    <cellStyle name="Normal 4 6 2 2 2 4 3 2" xfId="14453" xr:uid="{5D4F487B-AF27-4482-A7B1-F67CCDC1A7ED}"/>
    <cellStyle name="Normal 4 6 2 2 2 4 4" xfId="10235" xr:uid="{59F3642C-91F6-456E-80D0-361AC2DEC194}"/>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60A712C3-1172-4670-A49A-2D4FE38EDFF4}"/>
    <cellStyle name="Normal 4 6 2 2 2 5 2 3" xfId="12793" xr:uid="{DEDCC4E9-AD5D-48AF-BFF6-9AEAD62221C5}"/>
    <cellStyle name="Normal 4 6 2 2 2 5 3" xfId="6424" xr:uid="{00000000-0005-0000-0000-000015160000}"/>
    <cellStyle name="Normal 4 6 2 2 2 5 3 2" xfId="14866" xr:uid="{2B6B3E8D-75EC-4807-9F5E-14784C4684B7}"/>
    <cellStyle name="Normal 4 6 2 2 2 5 4" xfId="10648" xr:uid="{CB2C547A-399D-4E7F-97CC-D826CED08A36}"/>
    <cellStyle name="Normal 4 6 2 2 2 6" xfId="2553" xr:uid="{00000000-0005-0000-0000-000016160000}"/>
    <cellStyle name="Normal 4 6 2 2 2 6 2" xfId="6837" xr:uid="{00000000-0005-0000-0000-000017160000}"/>
    <cellStyle name="Normal 4 6 2 2 2 6 2 2" xfId="15279" xr:uid="{6444F51B-32D2-41DC-994A-E87AF9CD99EF}"/>
    <cellStyle name="Normal 4 6 2 2 2 6 3" xfId="11061" xr:uid="{B89820D6-A58F-48E0-9F6A-1CC89F277772}"/>
    <cellStyle name="Normal 4 6 2 2 2 7" xfId="4772" xr:uid="{00000000-0005-0000-0000-000018160000}"/>
    <cellStyle name="Normal 4 6 2 2 2 7 2" xfId="13214" xr:uid="{2A56E9B1-5765-442E-A627-088D5238B92C}"/>
    <cellStyle name="Normal 4 6 2 2 2 8" xfId="8996" xr:uid="{537917C0-C218-4E4E-ACE2-1296F90A5D49}"/>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167C9D6D-19D6-435C-BE42-1FDCFBBCAFAB}"/>
    <cellStyle name="Normal 4 6 2 2 3 2 3" xfId="11553" xr:uid="{136C8B19-AADD-4EC0-BEDE-FCB2333CB824}"/>
    <cellStyle name="Normal 4 6 2 2 3 3" xfId="5184" xr:uid="{00000000-0005-0000-0000-00001C160000}"/>
    <cellStyle name="Normal 4 6 2 2 3 3 2" xfId="13626" xr:uid="{06926D23-0DF9-41B9-8387-B278C7580CE4}"/>
    <cellStyle name="Normal 4 6 2 2 3 4" xfId="9408" xr:uid="{7BBFDCDB-81FC-49AE-8065-A8313308D977}"/>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7A773613-70A2-426B-A2F1-66BF1A5D23D2}"/>
    <cellStyle name="Normal 4 6 2 2 4 2 3" xfId="11966" xr:uid="{A6BA1213-B8F5-4662-A7D8-051DED1E85E1}"/>
    <cellStyle name="Normal 4 6 2 2 4 3" xfId="5597" xr:uid="{00000000-0005-0000-0000-000020160000}"/>
    <cellStyle name="Normal 4 6 2 2 4 3 2" xfId="14039" xr:uid="{F4EB1DD4-42E1-4BB0-A84A-2560E961D454}"/>
    <cellStyle name="Normal 4 6 2 2 4 4" xfId="9821" xr:uid="{C16CE6A3-E184-4C8F-B0F2-B089E0A9968C}"/>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249EA596-7C4C-4A38-A6D7-87020A62A8B0}"/>
    <cellStyle name="Normal 4 6 2 2 5 2 3" xfId="12379" xr:uid="{95276E0C-4EBE-457C-AD5C-1C95F11BE599}"/>
    <cellStyle name="Normal 4 6 2 2 5 3" xfId="6010" xr:uid="{00000000-0005-0000-0000-000024160000}"/>
    <cellStyle name="Normal 4 6 2 2 5 3 2" xfId="14452" xr:uid="{832B960A-C1B8-4B02-BDCB-41901570BD33}"/>
    <cellStyle name="Normal 4 6 2 2 5 4" xfId="10234" xr:uid="{0B6A76C1-74D1-49C3-AAC2-52490831E7AF}"/>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CF3FC426-24D5-4FCF-8DA0-0AA42484BE9C}"/>
    <cellStyle name="Normal 4 6 2 2 6 2 3" xfId="12792" xr:uid="{8F462A97-C5BA-4FE4-8B2E-B202A580A03A}"/>
    <cellStyle name="Normal 4 6 2 2 6 3" xfId="6423" xr:uid="{00000000-0005-0000-0000-000028160000}"/>
    <cellStyle name="Normal 4 6 2 2 6 3 2" xfId="14865" xr:uid="{37A80857-2657-40F8-9C25-783C563C0612}"/>
    <cellStyle name="Normal 4 6 2 2 6 4" xfId="10647" xr:uid="{0833A9BE-350D-466E-A6CE-316FC641BC04}"/>
    <cellStyle name="Normal 4 6 2 2 7" xfId="2552" xr:uid="{00000000-0005-0000-0000-000029160000}"/>
    <cellStyle name="Normal 4 6 2 2 7 2" xfId="6836" xr:uid="{00000000-0005-0000-0000-00002A160000}"/>
    <cellStyle name="Normal 4 6 2 2 7 2 2" xfId="15278" xr:uid="{A21FB5FA-B3B5-4FD4-B08C-64534F101DD7}"/>
    <cellStyle name="Normal 4 6 2 2 7 3" xfId="11060" xr:uid="{1A77965D-9C57-4D66-9D16-EB74425F2F56}"/>
    <cellStyle name="Normal 4 6 2 2 8" xfId="4771" xr:uid="{00000000-0005-0000-0000-00002B160000}"/>
    <cellStyle name="Normal 4 6 2 2 8 2" xfId="13213" xr:uid="{3CC452B5-410A-49E5-9D10-B35E0717C260}"/>
    <cellStyle name="Normal 4 6 2 2 9" xfId="8995" xr:uid="{FE6DB5BA-7225-47ED-89BA-265E2EBBF58E}"/>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C1C20405-05EF-4D47-B2B5-9AB1F1097952}"/>
    <cellStyle name="Normal 4 6 2 3 2 2 3" xfId="11555" xr:uid="{0BB29AC5-B656-4504-8AA3-695B57507038}"/>
    <cellStyle name="Normal 4 6 2 3 2 3" xfId="5186" xr:uid="{00000000-0005-0000-0000-000030160000}"/>
    <cellStyle name="Normal 4 6 2 3 2 3 2" xfId="13628" xr:uid="{4617FCA3-4442-48DB-98EE-7F19D6A8598C}"/>
    <cellStyle name="Normal 4 6 2 3 2 4" xfId="9410" xr:uid="{A10A45D9-995A-4EF2-B278-4E82C36D3818}"/>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7D33ED43-9196-4A96-9386-5E07CD0F1526}"/>
    <cellStyle name="Normal 4 6 2 3 3 2 3" xfId="11968" xr:uid="{B93D998B-67A5-4B28-BCB6-E5BE387B88D6}"/>
    <cellStyle name="Normal 4 6 2 3 3 3" xfId="5599" xr:uid="{00000000-0005-0000-0000-000034160000}"/>
    <cellStyle name="Normal 4 6 2 3 3 3 2" xfId="14041" xr:uid="{0FD0C9B2-12C5-4D94-AA1C-1F650BA6F567}"/>
    <cellStyle name="Normal 4 6 2 3 3 4" xfId="9823" xr:uid="{188C2033-BDF0-4EFD-BE8A-9940339DB70A}"/>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0A6AB779-4AD7-4243-99B4-31A5B9C4F4B9}"/>
    <cellStyle name="Normal 4 6 2 3 4 2 3" xfId="12381" xr:uid="{040EFB55-20BB-4731-94A4-9491B02E6A59}"/>
    <cellStyle name="Normal 4 6 2 3 4 3" xfId="6012" xr:uid="{00000000-0005-0000-0000-000038160000}"/>
    <cellStyle name="Normal 4 6 2 3 4 3 2" xfId="14454" xr:uid="{23964CF2-1DC4-40EF-A718-8ED860F3E0A0}"/>
    <cellStyle name="Normal 4 6 2 3 4 4" xfId="10236" xr:uid="{1D12714F-D2A2-44E9-9142-05485D72FE5D}"/>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E3A7A1A4-E9D7-4F15-A570-2A21F6E3C00A}"/>
    <cellStyle name="Normal 4 6 2 3 5 2 3" xfId="12794" xr:uid="{81D236E9-C9A4-441D-8A67-B5D986437014}"/>
    <cellStyle name="Normal 4 6 2 3 5 3" xfId="6425" xr:uid="{00000000-0005-0000-0000-00003C160000}"/>
    <cellStyle name="Normal 4 6 2 3 5 3 2" xfId="14867" xr:uid="{A0A8794F-C039-4C65-9D23-F7E9D9D7D0F5}"/>
    <cellStyle name="Normal 4 6 2 3 5 4" xfId="10649" xr:uid="{D8A1D81A-7485-42F9-9FFF-36EF49072FB6}"/>
    <cellStyle name="Normal 4 6 2 3 6" xfId="2554" xr:uid="{00000000-0005-0000-0000-00003D160000}"/>
    <cellStyle name="Normal 4 6 2 3 6 2" xfId="6838" xr:uid="{00000000-0005-0000-0000-00003E160000}"/>
    <cellStyle name="Normal 4 6 2 3 6 2 2" xfId="15280" xr:uid="{53302827-44A7-4B83-AE7F-BADD9F2C37E9}"/>
    <cellStyle name="Normal 4 6 2 3 6 3" xfId="11062" xr:uid="{3E3F907E-1DF3-4060-BF6D-B4CAB62E75BF}"/>
    <cellStyle name="Normal 4 6 2 3 7" xfId="4773" xr:uid="{00000000-0005-0000-0000-00003F160000}"/>
    <cellStyle name="Normal 4 6 2 3 7 2" xfId="13215" xr:uid="{012C4078-5B38-423D-8B15-2E1C92A8FD18}"/>
    <cellStyle name="Normal 4 6 2 3 8" xfId="8997" xr:uid="{DAB0BCE2-272B-48A1-8B23-134E7009C496}"/>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161E9C89-7428-4F9F-A24C-A88AC7CEB93D}"/>
    <cellStyle name="Normal 4 6 2 4 2 3" xfId="11552" xr:uid="{B92AE4C2-A9B2-4A50-9A7C-E5C373B59F3B}"/>
    <cellStyle name="Normal 4 6 2 4 3" xfId="5183" xr:uid="{00000000-0005-0000-0000-000043160000}"/>
    <cellStyle name="Normal 4 6 2 4 3 2" xfId="13625" xr:uid="{397E3D7F-0531-4524-BA4E-43CF9992A346}"/>
    <cellStyle name="Normal 4 6 2 4 4" xfId="9407" xr:uid="{62B4406B-02BB-4AE4-AC3A-F8A1FE404B75}"/>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3C5339FE-0BE9-40C1-BC1C-9410697D2456}"/>
    <cellStyle name="Normal 4 6 2 5 2 3" xfId="11965" xr:uid="{ED2DF759-0DF6-47AC-8E89-B9AF292A8D17}"/>
    <cellStyle name="Normal 4 6 2 5 3" xfId="5596" xr:uid="{00000000-0005-0000-0000-000047160000}"/>
    <cellStyle name="Normal 4 6 2 5 3 2" xfId="14038" xr:uid="{759F1BC2-2E8B-4450-922B-5C306B19482F}"/>
    <cellStyle name="Normal 4 6 2 5 4" xfId="9820" xr:uid="{4BA99F83-AE9E-441A-89E0-F31581388290}"/>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93D2A7E8-DB13-40FB-9181-DB32B97F555F}"/>
    <cellStyle name="Normal 4 6 2 6 2 3" xfId="12378" xr:uid="{7CBFF5AA-3B33-4FED-B5CD-CB43DFC48931}"/>
    <cellStyle name="Normal 4 6 2 6 3" xfId="6009" xr:uid="{00000000-0005-0000-0000-00004B160000}"/>
    <cellStyle name="Normal 4 6 2 6 3 2" xfId="14451" xr:uid="{10BDDDF3-DA81-4E21-BBAF-2D7B5E6E8E7A}"/>
    <cellStyle name="Normal 4 6 2 6 4" xfId="10233" xr:uid="{7114AD07-E738-477F-A70C-976A0F59A9B1}"/>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BCEEA30B-AB49-4146-AA0D-19AE6C57F8B8}"/>
    <cellStyle name="Normal 4 6 2 7 2 3" xfId="12791" xr:uid="{68E738A6-42F7-4361-8D29-2905D9A9A7A1}"/>
    <cellStyle name="Normal 4 6 2 7 3" xfId="6422" xr:uid="{00000000-0005-0000-0000-00004F160000}"/>
    <cellStyle name="Normal 4 6 2 7 3 2" xfId="14864" xr:uid="{0C208D8B-3D9C-458E-8BC0-F608FECF1E8E}"/>
    <cellStyle name="Normal 4 6 2 7 4" xfId="10646" xr:uid="{3B3B7CE9-A00B-4537-9722-F8B1133C9C80}"/>
    <cellStyle name="Normal 4 6 2 8" xfId="2551" xr:uid="{00000000-0005-0000-0000-000050160000}"/>
    <cellStyle name="Normal 4 6 2 8 2" xfId="6835" xr:uid="{00000000-0005-0000-0000-000051160000}"/>
    <cellStyle name="Normal 4 6 2 8 2 2" xfId="15277" xr:uid="{4A2A80D4-24D6-42C6-9319-6256ED9DFB4F}"/>
    <cellStyle name="Normal 4 6 2 8 3" xfId="11059" xr:uid="{3DF477FB-32E8-42F0-B948-79A42AC592A2}"/>
    <cellStyle name="Normal 4 6 2 9" xfId="4770" xr:uid="{00000000-0005-0000-0000-000052160000}"/>
    <cellStyle name="Normal 4 6 2 9 2" xfId="13212" xr:uid="{989EF97A-5C90-48E4-85D0-A4A6D90035E2}"/>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A0F4ED2B-260B-4572-9109-275928E23AA8}"/>
    <cellStyle name="Normal 4 6 3 2 2 2 3" xfId="11557" xr:uid="{F0330D2C-9237-495E-913E-7D12F4BE2B8F}"/>
    <cellStyle name="Normal 4 6 3 2 2 3" xfId="5188" xr:uid="{00000000-0005-0000-0000-000058160000}"/>
    <cellStyle name="Normal 4 6 3 2 2 3 2" xfId="13630" xr:uid="{18BF2CB8-FD9F-4EE3-82D3-0D1F56716097}"/>
    <cellStyle name="Normal 4 6 3 2 2 4" xfId="9412" xr:uid="{2E2E8AAC-AB98-459D-B94B-4D31071A28AD}"/>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1B29F1E9-FD1A-4969-98BD-932E94AEA09E}"/>
    <cellStyle name="Normal 4 6 3 2 3 2 3" xfId="11970" xr:uid="{9EC6B14F-7960-424D-B6F1-C8B4A206B8C1}"/>
    <cellStyle name="Normal 4 6 3 2 3 3" xfId="5601" xr:uid="{00000000-0005-0000-0000-00005C160000}"/>
    <cellStyle name="Normal 4 6 3 2 3 3 2" xfId="14043" xr:uid="{D446CCA0-1DDA-4835-BF86-D6024F6858DC}"/>
    <cellStyle name="Normal 4 6 3 2 3 4" xfId="9825" xr:uid="{1CE092A5-5332-4615-9466-332ADCF1087C}"/>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4F9E6704-1406-476B-B021-3D2A21E98817}"/>
    <cellStyle name="Normal 4 6 3 2 4 2 3" xfId="12383" xr:uid="{1F1CEB55-1463-4856-B92D-057BF5E1D901}"/>
    <cellStyle name="Normal 4 6 3 2 4 3" xfId="6014" xr:uid="{00000000-0005-0000-0000-000060160000}"/>
    <cellStyle name="Normal 4 6 3 2 4 3 2" xfId="14456" xr:uid="{C73C9A06-86FF-42FA-B217-8A5196C44740}"/>
    <cellStyle name="Normal 4 6 3 2 4 4" xfId="10238" xr:uid="{4C927C3D-498C-46C0-A918-0387D4C5FD05}"/>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EBAE5519-499D-441B-968C-F40CC3CED275}"/>
    <cellStyle name="Normal 4 6 3 2 5 2 3" xfId="12796" xr:uid="{8476DA55-A1BE-497A-841D-7C65B4DF2261}"/>
    <cellStyle name="Normal 4 6 3 2 5 3" xfId="6427" xr:uid="{00000000-0005-0000-0000-000064160000}"/>
    <cellStyle name="Normal 4 6 3 2 5 3 2" xfId="14869" xr:uid="{FC7C415E-6CC7-4A61-8517-612DED1CECA4}"/>
    <cellStyle name="Normal 4 6 3 2 5 4" xfId="10651" xr:uid="{D570215F-3106-4F36-88AB-27E843B262C0}"/>
    <cellStyle name="Normal 4 6 3 2 6" xfId="2556" xr:uid="{00000000-0005-0000-0000-000065160000}"/>
    <cellStyle name="Normal 4 6 3 2 6 2" xfId="6840" xr:uid="{00000000-0005-0000-0000-000066160000}"/>
    <cellStyle name="Normal 4 6 3 2 6 2 2" xfId="15282" xr:uid="{D9C9048C-29FD-4EDC-A85F-645455EEB32D}"/>
    <cellStyle name="Normal 4 6 3 2 6 3" xfId="11064" xr:uid="{B2DBDCB1-2CE3-44B9-85F2-B526829F8684}"/>
    <cellStyle name="Normal 4 6 3 2 7" xfId="4775" xr:uid="{00000000-0005-0000-0000-000067160000}"/>
    <cellStyle name="Normal 4 6 3 2 7 2" xfId="13217" xr:uid="{95497268-1362-4E48-B01F-F3B4F5C7E16C}"/>
    <cellStyle name="Normal 4 6 3 2 8" xfId="8999" xr:uid="{A3666953-4D8B-48E6-B5A9-6EECA8247870}"/>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220F6B14-FFAC-4961-ABB9-292267A050B9}"/>
    <cellStyle name="Normal 4 6 3 3 2 3" xfId="11556" xr:uid="{1FFC0119-8492-462B-AD80-725A441A57A3}"/>
    <cellStyle name="Normal 4 6 3 3 3" xfId="5187" xr:uid="{00000000-0005-0000-0000-00006B160000}"/>
    <cellStyle name="Normal 4 6 3 3 3 2" xfId="13629" xr:uid="{4ACFA4AA-6FD3-4830-BE4A-91C34D82D7A3}"/>
    <cellStyle name="Normal 4 6 3 3 4" xfId="9411" xr:uid="{F35E76BE-7302-4D5C-99EF-38D4A0A22108}"/>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C6C6EA73-48B5-4318-AE16-CB8C87CE18E3}"/>
    <cellStyle name="Normal 4 6 3 4 2 3" xfId="11969" xr:uid="{A6A2A29C-6485-49E0-8795-D2BC4EFE16E1}"/>
    <cellStyle name="Normal 4 6 3 4 3" xfId="5600" xr:uid="{00000000-0005-0000-0000-00006F160000}"/>
    <cellStyle name="Normal 4 6 3 4 3 2" xfId="14042" xr:uid="{41C71A71-2E13-47FB-8A40-DD4F62AB8AD6}"/>
    <cellStyle name="Normal 4 6 3 4 4" xfId="9824" xr:uid="{AFDE48F3-CDFE-4DEC-85A1-256C6B490A88}"/>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8AC7A711-4080-4BD3-8744-7C0D59064265}"/>
    <cellStyle name="Normal 4 6 3 5 2 3" xfId="12382" xr:uid="{A8AC59FB-58AF-4A88-8452-018189A4B2DC}"/>
    <cellStyle name="Normal 4 6 3 5 3" xfId="6013" xr:uid="{00000000-0005-0000-0000-000073160000}"/>
    <cellStyle name="Normal 4 6 3 5 3 2" xfId="14455" xr:uid="{0C7C1A59-2357-4CAF-8ADC-5C36D05A4199}"/>
    <cellStyle name="Normal 4 6 3 5 4" xfId="10237" xr:uid="{F355DF70-640E-44AB-A181-927FD06EC819}"/>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2B00175B-ED7B-4668-A9BF-B0B62A16DDB8}"/>
    <cellStyle name="Normal 4 6 3 6 2 3" xfId="12795" xr:uid="{AB00AE5D-FF5F-42BF-8095-724D79B65D14}"/>
    <cellStyle name="Normal 4 6 3 6 3" xfId="6426" xr:uid="{00000000-0005-0000-0000-000077160000}"/>
    <cellStyle name="Normal 4 6 3 6 3 2" xfId="14868" xr:uid="{0E3F81D0-7AE8-4502-899B-87D0A9862179}"/>
    <cellStyle name="Normal 4 6 3 6 4" xfId="10650" xr:uid="{9A6316ED-7750-4CCB-A850-2DE7850932E2}"/>
    <cellStyle name="Normal 4 6 3 7" xfId="2555" xr:uid="{00000000-0005-0000-0000-000078160000}"/>
    <cellStyle name="Normal 4 6 3 7 2" xfId="6839" xr:uid="{00000000-0005-0000-0000-000079160000}"/>
    <cellStyle name="Normal 4 6 3 7 2 2" xfId="15281" xr:uid="{36CB4908-077D-4979-97CB-DE6A45690E2F}"/>
    <cellStyle name="Normal 4 6 3 7 3" xfId="11063" xr:uid="{D9B02D5B-0D28-4957-947D-83C1B8F2F40D}"/>
    <cellStyle name="Normal 4 6 3 8" xfId="4774" xr:uid="{00000000-0005-0000-0000-00007A160000}"/>
    <cellStyle name="Normal 4 6 3 8 2" xfId="13216" xr:uid="{8182D033-37A7-41CB-A8D4-3D7F80933BA4}"/>
    <cellStyle name="Normal 4 6 3 9" xfId="8998" xr:uid="{24A0BE0D-3F2C-414C-AA5C-457D8F5768A4}"/>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2BCB5D9A-E32F-4D89-9579-1873FF952774}"/>
    <cellStyle name="Normal 4 6 4 2 2 3" xfId="11558" xr:uid="{B931D0E7-E2BC-4E26-B9AD-729045C06DA1}"/>
    <cellStyle name="Normal 4 6 4 2 3" xfId="5189" xr:uid="{00000000-0005-0000-0000-00007F160000}"/>
    <cellStyle name="Normal 4 6 4 2 3 2" xfId="13631" xr:uid="{834501F9-A22A-4A47-9A7C-8E7BB3D1F51B}"/>
    <cellStyle name="Normal 4 6 4 2 4" xfId="9413" xr:uid="{45B112DD-AE3B-4C76-A307-24FF68BCF9CA}"/>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ED52E926-4E70-4AF3-88DC-52D24582A0D9}"/>
    <cellStyle name="Normal 4 6 4 3 2 3" xfId="11971" xr:uid="{26286C6F-341D-4577-B766-32156B743853}"/>
    <cellStyle name="Normal 4 6 4 3 3" xfId="5602" xr:uid="{00000000-0005-0000-0000-000083160000}"/>
    <cellStyle name="Normal 4 6 4 3 3 2" xfId="14044" xr:uid="{694BA556-3DB2-42CF-BE22-284044073723}"/>
    <cellStyle name="Normal 4 6 4 3 4" xfId="9826" xr:uid="{343F1123-D55C-453F-A95C-74BA3CE33C14}"/>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89894EE4-16DB-4F82-AB08-B22DC68A0178}"/>
    <cellStyle name="Normal 4 6 4 4 2 3" xfId="12384" xr:uid="{58714209-E8C7-474F-AC2E-C4FDA1A06223}"/>
    <cellStyle name="Normal 4 6 4 4 3" xfId="6015" xr:uid="{00000000-0005-0000-0000-000087160000}"/>
    <cellStyle name="Normal 4 6 4 4 3 2" xfId="14457" xr:uid="{63AE3338-C369-48ED-BBA7-87186CC55559}"/>
    <cellStyle name="Normal 4 6 4 4 4" xfId="10239" xr:uid="{70A175A1-2BB0-4E0C-B08F-4097501B5DC2}"/>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42580E5C-B6FE-4EE1-804D-775D07D9C165}"/>
    <cellStyle name="Normal 4 6 4 5 2 3" xfId="12797" xr:uid="{24EF8132-E359-4B40-B4F9-97085067A580}"/>
    <cellStyle name="Normal 4 6 4 5 3" xfId="6428" xr:uid="{00000000-0005-0000-0000-00008B160000}"/>
    <cellStyle name="Normal 4 6 4 5 3 2" xfId="14870" xr:uid="{E91A704D-4D45-401A-94CF-E42A65B4130B}"/>
    <cellStyle name="Normal 4 6 4 5 4" xfId="10652" xr:uid="{6FF5B655-6879-409E-9E34-D8C5716B1BEE}"/>
    <cellStyle name="Normal 4 6 4 6" xfId="2557" xr:uid="{00000000-0005-0000-0000-00008C160000}"/>
    <cellStyle name="Normal 4 6 4 6 2" xfId="6841" xr:uid="{00000000-0005-0000-0000-00008D160000}"/>
    <cellStyle name="Normal 4 6 4 6 2 2" xfId="15283" xr:uid="{F5110472-FA9B-4B0F-9FDF-F15131D86AE1}"/>
    <cellStyle name="Normal 4 6 4 6 3" xfId="11065" xr:uid="{CD0FF938-31BA-429D-8E71-5F101F492181}"/>
    <cellStyle name="Normal 4 6 4 7" xfId="4776" xr:uid="{00000000-0005-0000-0000-00008E160000}"/>
    <cellStyle name="Normal 4 6 4 7 2" xfId="13218" xr:uid="{24C339FC-C08F-434E-B34E-515940AA7D54}"/>
    <cellStyle name="Normal 4 6 4 8" xfId="9000" xr:uid="{DB210927-DC2D-4600-81BD-6346FAEE59E1}"/>
    <cellStyle name="Normal 4 6 5" xfId="869" xr:uid="{00000000-0005-0000-0000-00008F160000}"/>
    <cellStyle name="Normal 4 6 5 2" xfId="3104" xr:uid="{00000000-0005-0000-0000-000090160000}"/>
    <cellStyle name="Normal 4 6 5 2 2" xfId="7327" xr:uid="{00000000-0005-0000-0000-000091160000}"/>
    <cellStyle name="Normal 4 6 5 2 2 2" xfId="15769" xr:uid="{ED0E9FFF-D607-4991-97B8-2E9BABE50125}"/>
    <cellStyle name="Normal 4 6 5 2 3" xfId="11551" xr:uid="{FD958586-68B5-4921-813E-2ADD986BCA26}"/>
    <cellStyle name="Normal 4 6 5 3" xfId="5182" xr:uid="{00000000-0005-0000-0000-000092160000}"/>
    <cellStyle name="Normal 4 6 5 3 2" xfId="13624" xr:uid="{1A3C89BE-D663-499C-9CFF-5EDDC2818B32}"/>
    <cellStyle name="Normal 4 6 5 4" xfId="9406" xr:uid="{22BDB619-29B9-4644-909E-CB81576A3D25}"/>
    <cellStyle name="Normal 4 6 6" xfId="1287" xr:uid="{00000000-0005-0000-0000-000093160000}"/>
    <cellStyle name="Normal 4 6 6 2" xfId="3517" xr:uid="{00000000-0005-0000-0000-000094160000}"/>
    <cellStyle name="Normal 4 6 6 2 2" xfId="7740" xr:uid="{00000000-0005-0000-0000-000095160000}"/>
    <cellStyle name="Normal 4 6 6 2 2 2" xfId="16182" xr:uid="{5AC4108A-9177-4535-91A6-CD26A1641D42}"/>
    <cellStyle name="Normal 4 6 6 2 3" xfId="11964" xr:uid="{EEA1790E-8EF5-46CC-A913-BC7C3CF9F0F4}"/>
    <cellStyle name="Normal 4 6 6 3" xfId="5595" xr:uid="{00000000-0005-0000-0000-000096160000}"/>
    <cellStyle name="Normal 4 6 6 3 2" xfId="14037" xr:uid="{F822B0F6-F4AE-4063-9EB4-A87E2A20A23D}"/>
    <cellStyle name="Normal 4 6 6 4" xfId="9819" xr:uid="{1231368D-3C7A-436A-A172-B636D19ABE73}"/>
    <cellStyle name="Normal 4 6 7" xfId="1700" xr:uid="{00000000-0005-0000-0000-000097160000}"/>
    <cellStyle name="Normal 4 6 7 2" xfId="3930" xr:uid="{00000000-0005-0000-0000-000098160000}"/>
    <cellStyle name="Normal 4 6 7 2 2" xfId="8153" xr:uid="{00000000-0005-0000-0000-000099160000}"/>
    <cellStyle name="Normal 4 6 7 2 2 2" xfId="16595" xr:uid="{A7DF9951-D809-4585-9065-64CA57ABC93F}"/>
    <cellStyle name="Normal 4 6 7 2 3" xfId="12377" xr:uid="{EAD4E45B-C26D-4AB7-BECA-19EB25735BB1}"/>
    <cellStyle name="Normal 4 6 7 3" xfId="6008" xr:uid="{00000000-0005-0000-0000-00009A160000}"/>
    <cellStyle name="Normal 4 6 7 3 2" xfId="14450" xr:uid="{AE06568E-6325-40C1-A4DF-F4764D15D5AD}"/>
    <cellStyle name="Normal 4 6 7 4" xfId="10232" xr:uid="{7D07B2A1-0B32-4820-B927-6A024D4BE4B5}"/>
    <cellStyle name="Normal 4 6 8" xfId="2114" xr:uid="{00000000-0005-0000-0000-00009B160000}"/>
    <cellStyle name="Normal 4 6 8 2" xfId="4343" xr:uid="{00000000-0005-0000-0000-00009C160000}"/>
    <cellStyle name="Normal 4 6 8 2 2" xfId="8566" xr:uid="{00000000-0005-0000-0000-00009D160000}"/>
    <cellStyle name="Normal 4 6 8 2 2 2" xfId="17008" xr:uid="{5FE50526-BC86-4267-A02D-E4174B295C9C}"/>
    <cellStyle name="Normal 4 6 8 2 3" xfId="12790" xr:uid="{6BE66F97-067C-4A9A-8A1D-DB886EF2A76A}"/>
    <cellStyle name="Normal 4 6 8 3" xfId="6421" xr:uid="{00000000-0005-0000-0000-00009E160000}"/>
    <cellStyle name="Normal 4 6 8 3 2" xfId="14863" xr:uid="{94D36CB4-C7FE-410F-9295-28A59F600C0D}"/>
    <cellStyle name="Normal 4 6 8 4" xfId="10645" xr:uid="{FD4F2FCE-6A49-4444-9F5B-8F1BEB9F0973}"/>
    <cellStyle name="Normal 4 6 9" xfId="2550" xr:uid="{00000000-0005-0000-0000-00009F160000}"/>
    <cellStyle name="Normal 4 6 9 2" xfId="6834" xr:uid="{00000000-0005-0000-0000-0000A0160000}"/>
    <cellStyle name="Normal 4 6 9 2 2" xfId="15276" xr:uid="{02739D71-AE93-4746-BFFC-4A69B3C09070}"/>
    <cellStyle name="Normal 4 6 9 3" xfId="11058" xr:uid="{4AA96BB7-89F7-4EF0-A61A-50A6EE6C5A67}"/>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6251CCAB-F094-45A7-B70F-3CB702E3C0DE}"/>
    <cellStyle name="Normal 4 7 2 2 2 3" xfId="11560" xr:uid="{BCDAA4A3-7D92-4BC3-97C2-9CD615B082A8}"/>
    <cellStyle name="Normal 4 7 2 2 3" xfId="5191" xr:uid="{00000000-0005-0000-0000-0000A6160000}"/>
    <cellStyle name="Normal 4 7 2 2 3 2" xfId="13633" xr:uid="{D0852D13-C5A0-4345-8669-889F15C6C095}"/>
    <cellStyle name="Normal 4 7 2 2 4" xfId="9415" xr:uid="{D442E748-8270-4080-BBBF-32E3B7BEB0EF}"/>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A0838F0D-CB42-4ECF-AD73-574A9FF83B86}"/>
    <cellStyle name="Normal 4 7 2 3 2 3" xfId="11973" xr:uid="{E325C422-3F95-4658-B3D0-CA4E7D24B073}"/>
    <cellStyle name="Normal 4 7 2 3 3" xfId="5604" xr:uid="{00000000-0005-0000-0000-0000AA160000}"/>
    <cellStyle name="Normal 4 7 2 3 3 2" xfId="14046" xr:uid="{53F892D9-E6A7-40C2-BB07-E797936CDE68}"/>
    <cellStyle name="Normal 4 7 2 3 4" xfId="9828" xr:uid="{0F7DAA52-17A6-43D9-99A8-8B4BDA6C26E2}"/>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FF8FC04F-2523-4C71-9B14-B8C47D2421E6}"/>
    <cellStyle name="Normal 4 7 2 4 2 3" xfId="12386" xr:uid="{888D1D62-3F0B-42FB-B7B0-14BCC042FC96}"/>
    <cellStyle name="Normal 4 7 2 4 3" xfId="6017" xr:uid="{00000000-0005-0000-0000-0000AE160000}"/>
    <cellStyle name="Normal 4 7 2 4 3 2" xfId="14459" xr:uid="{D12C9BED-FB65-4841-88FC-C633149618E1}"/>
    <cellStyle name="Normal 4 7 2 4 4" xfId="10241" xr:uid="{EB9A5859-BC8B-4760-A063-F127F004C399}"/>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D364A26D-C941-4E07-B3A4-5379BB4C7F75}"/>
    <cellStyle name="Normal 4 7 2 5 2 3" xfId="12799" xr:uid="{501F26E2-0853-4782-922F-30460D219732}"/>
    <cellStyle name="Normal 4 7 2 5 3" xfId="6430" xr:uid="{00000000-0005-0000-0000-0000B2160000}"/>
    <cellStyle name="Normal 4 7 2 5 3 2" xfId="14872" xr:uid="{23256CD7-DDD2-4B97-806A-26695B712A51}"/>
    <cellStyle name="Normal 4 7 2 5 4" xfId="10654" xr:uid="{00D9ED9C-FF2D-4266-A515-DCCD9D2EEEA1}"/>
    <cellStyle name="Normal 4 7 2 6" xfId="2559" xr:uid="{00000000-0005-0000-0000-0000B3160000}"/>
    <cellStyle name="Normal 4 7 2 6 2" xfId="6843" xr:uid="{00000000-0005-0000-0000-0000B4160000}"/>
    <cellStyle name="Normal 4 7 2 6 2 2" xfId="15285" xr:uid="{EBAAFBEA-E014-423C-9668-70561D1E5044}"/>
    <cellStyle name="Normal 4 7 2 6 3" xfId="11067" xr:uid="{8D840AEA-5C73-4B6B-82BD-050FC397BFCA}"/>
    <cellStyle name="Normal 4 7 2 7" xfId="4778" xr:uid="{00000000-0005-0000-0000-0000B5160000}"/>
    <cellStyle name="Normal 4 7 2 7 2" xfId="13220" xr:uid="{447A52CB-FCF9-4983-9138-0CD14B148E6D}"/>
    <cellStyle name="Normal 4 7 2 8" xfId="9002" xr:uid="{1D7B96A1-4401-4731-A29F-6640FA3CD2BA}"/>
    <cellStyle name="Normal 4 7 3" xfId="877" xr:uid="{00000000-0005-0000-0000-0000B6160000}"/>
    <cellStyle name="Normal 4 7 3 2" xfId="3112" xr:uid="{00000000-0005-0000-0000-0000B7160000}"/>
    <cellStyle name="Normal 4 7 3 2 2" xfId="7335" xr:uid="{00000000-0005-0000-0000-0000B8160000}"/>
    <cellStyle name="Normal 4 7 3 2 2 2" xfId="15777" xr:uid="{C75B65E2-E207-41D1-8DB8-15B26263E51A}"/>
    <cellStyle name="Normal 4 7 3 2 3" xfId="11559" xr:uid="{56D1E5E4-4745-40FE-8095-14BCF81F5DA6}"/>
    <cellStyle name="Normal 4 7 3 3" xfId="5190" xr:uid="{00000000-0005-0000-0000-0000B9160000}"/>
    <cellStyle name="Normal 4 7 3 3 2" xfId="13632" xr:uid="{13B6C867-3EA3-4776-B4FA-A25E8AB296D3}"/>
    <cellStyle name="Normal 4 7 3 4" xfId="9414" xr:uid="{82E1C866-A841-46DF-8F9A-AE4C9B78B804}"/>
    <cellStyle name="Normal 4 7 4" xfId="1295" xr:uid="{00000000-0005-0000-0000-0000BA160000}"/>
    <cellStyle name="Normal 4 7 4 2" xfId="3525" xr:uid="{00000000-0005-0000-0000-0000BB160000}"/>
    <cellStyle name="Normal 4 7 4 2 2" xfId="7748" xr:uid="{00000000-0005-0000-0000-0000BC160000}"/>
    <cellStyle name="Normal 4 7 4 2 2 2" xfId="16190" xr:uid="{2356E4CD-2C0E-4487-85B1-D7B9CD72B9F7}"/>
    <cellStyle name="Normal 4 7 4 2 3" xfId="11972" xr:uid="{6940B0A0-F7CB-4C18-9D17-ADCE5DEB205F}"/>
    <cellStyle name="Normal 4 7 4 3" xfId="5603" xr:uid="{00000000-0005-0000-0000-0000BD160000}"/>
    <cellStyle name="Normal 4 7 4 3 2" xfId="14045" xr:uid="{683CB7DE-F33B-4AAE-BF48-FC49865A2AE1}"/>
    <cellStyle name="Normal 4 7 4 4" xfId="9827" xr:uid="{661203F8-7CE7-4C30-AAA3-176B342CB8E3}"/>
    <cellStyle name="Normal 4 7 5" xfId="1708" xr:uid="{00000000-0005-0000-0000-0000BE160000}"/>
    <cellStyle name="Normal 4 7 5 2" xfId="3938" xr:uid="{00000000-0005-0000-0000-0000BF160000}"/>
    <cellStyle name="Normal 4 7 5 2 2" xfId="8161" xr:uid="{00000000-0005-0000-0000-0000C0160000}"/>
    <cellStyle name="Normal 4 7 5 2 2 2" xfId="16603" xr:uid="{9AEA6CA8-48D1-48C9-AF9C-12FD557C6B77}"/>
    <cellStyle name="Normal 4 7 5 2 3" xfId="12385" xr:uid="{20571D97-22D3-4501-964D-8ADEDA44E916}"/>
    <cellStyle name="Normal 4 7 5 3" xfId="6016" xr:uid="{00000000-0005-0000-0000-0000C1160000}"/>
    <cellStyle name="Normal 4 7 5 3 2" xfId="14458" xr:uid="{9C6CC5D7-2795-49F3-8354-6853A690B3B7}"/>
    <cellStyle name="Normal 4 7 5 4" xfId="10240" xr:uid="{A91FB86B-99F9-4DD3-8FB4-64B0133CE93C}"/>
    <cellStyle name="Normal 4 7 6" xfId="2122" xr:uid="{00000000-0005-0000-0000-0000C2160000}"/>
    <cellStyle name="Normal 4 7 6 2" xfId="4351" xr:uid="{00000000-0005-0000-0000-0000C3160000}"/>
    <cellStyle name="Normal 4 7 6 2 2" xfId="8574" xr:uid="{00000000-0005-0000-0000-0000C4160000}"/>
    <cellStyle name="Normal 4 7 6 2 2 2" xfId="17016" xr:uid="{8652CE90-0FC3-429F-9DDC-28B6925F0694}"/>
    <cellStyle name="Normal 4 7 6 2 3" xfId="12798" xr:uid="{9547E377-5472-41BE-AD8D-B26E2E2EC11C}"/>
    <cellStyle name="Normal 4 7 6 3" xfId="6429" xr:uid="{00000000-0005-0000-0000-0000C5160000}"/>
    <cellStyle name="Normal 4 7 6 3 2" xfId="14871" xr:uid="{9C10E89C-11E8-41F6-B35D-CC850638C8E9}"/>
    <cellStyle name="Normal 4 7 6 4" xfId="10653" xr:uid="{FD55EA9A-B8E8-4807-AB63-0DCAFEC20487}"/>
    <cellStyle name="Normal 4 7 7" xfId="2558" xr:uid="{00000000-0005-0000-0000-0000C6160000}"/>
    <cellStyle name="Normal 4 7 7 2" xfId="6842" xr:uid="{00000000-0005-0000-0000-0000C7160000}"/>
    <cellStyle name="Normal 4 7 7 2 2" xfId="15284" xr:uid="{E6825B36-60FA-4E14-979C-EB8FB4A6C2A4}"/>
    <cellStyle name="Normal 4 7 7 3" xfId="11066" xr:uid="{10D0900F-3934-4F1C-9729-41F2F23D62D5}"/>
    <cellStyle name="Normal 4 7 8" xfId="4777" xr:uid="{00000000-0005-0000-0000-0000C8160000}"/>
    <cellStyle name="Normal 4 7 8 2" xfId="13219" xr:uid="{FAA4BAAB-C6A0-40C1-A21F-435E2AC80B34}"/>
    <cellStyle name="Normal 4 7 9" xfId="9001" xr:uid="{14E7DCB3-D41E-4EDD-A2AA-DADF9AD10E87}"/>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6D509BCE-6A51-4176-8562-C288821C8F46}"/>
    <cellStyle name="Normal 4 8 2 2 3" xfId="11561" xr:uid="{A2E56070-1A8B-496C-AA1A-E1296EE7E105}"/>
    <cellStyle name="Normal 4 8 2 3" xfId="5192" xr:uid="{00000000-0005-0000-0000-0000CD160000}"/>
    <cellStyle name="Normal 4 8 2 3 2" xfId="13634" xr:uid="{50AD3E74-416E-4C66-BC6B-2685038631BB}"/>
    <cellStyle name="Normal 4 8 2 4" xfId="9416" xr:uid="{1E3901BC-52E4-40A8-A794-7627540976A3}"/>
    <cellStyle name="Normal 4 8 3" xfId="1297" xr:uid="{00000000-0005-0000-0000-0000CE160000}"/>
    <cellStyle name="Normal 4 8 3 2" xfId="3527" xr:uid="{00000000-0005-0000-0000-0000CF160000}"/>
    <cellStyle name="Normal 4 8 3 2 2" xfId="7750" xr:uid="{00000000-0005-0000-0000-0000D0160000}"/>
    <cellStyle name="Normal 4 8 3 2 2 2" xfId="16192" xr:uid="{A5CC374E-804C-4851-A619-8132715A9C7B}"/>
    <cellStyle name="Normal 4 8 3 2 3" xfId="11974" xr:uid="{B577A803-1742-4378-B0C2-85092520E6FC}"/>
    <cellStyle name="Normal 4 8 3 3" xfId="5605" xr:uid="{00000000-0005-0000-0000-0000D1160000}"/>
    <cellStyle name="Normal 4 8 3 3 2" xfId="14047" xr:uid="{A617A357-BE3F-410D-9DC3-111C9ABCE593}"/>
    <cellStyle name="Normal 4 8 3 4" xfId="9829" xr:uid="{8336A1AD-BA50-4AF0-A324-D4A52F49C3E7}"/>
    <cellStyle name="Normal 4 8 4" xfId="1710" xr:uid="{00000000-0005-0000-0000-0000D2160000}"/>
    <cellStyle name="Normal 4 8 4 2" xfId="3940" xr:uid="{00000000-0005-0000-0000-0000D3160000}"/>
    <cellStyle name="Normal 4 8 4 2 2" xfId="8163" xr:uid="{00000000-0005-0000-0000-0000D4160000}"/>
    <cellStyle name="Normal 4 8 4 2 2 2" xfId="16605" xr:uid="{BCB2C621-8C88-44FA-A4D0-0D9DA9CCA927}"/>
    <cellStyle name="Normal 4 8 4 2 3" xfId="12387" xr:uid="{171BEFA9-93C2-4114-9CF7-63EF859E7C74}"/>
    <cellStyle name="Normal 4 8 4 3" xfId="6018" xr:uid="{00000000-0005-0000-0000-0000D5160000}"/>
    <cellStyle name="Normal 4 8 4 3 2" xfId="14460" xr:uid="{FE91DC7E-5C57-4966-851D-83638A54308A}"/>
    <cellStyle name="Normal 4 8 4 4" xfId="10242" xr:uid="{90CD849D-A965-4FBC-8292-DA196E480AFD}"/>
    <cellStyle name="Normal 4 8 5" xfId="2124" xr:uid="{00000000-0005-0000-0000-0000D6160000}"/>
    <cellStyle name="Normal 4 8 5 2" xfId="4353" xr:uid="{00000000-0005-0000-0000-0000D7160000}"/>
    <cellStyle name="Normal 4 8 5 2 2" xfId="8576" xr:uid="{00000000-0005-0000-0000-0000D8160000}"/>
    <cellStyle name="Normal 4 8 5 2 2 2" xfId="17018" xr:uid="{C0A0F878-4E5F-4505-8B7B-32D0314E919D}"/>
    <cellStyle name="Normal 4 8 5 2 3" xfId="12800" xr:uid="{9540E1DB-76FA-4C06-AA6A-67C4FFFAF211}"/>
    <cellStyle name="Normal 4 8 5 3" xfId="6431" xr:uid="{00000000-0005-0000-0000-0000D9160000}"/>
    <cellStyle name="Normal 4 8 5 3 2" xfId="14873" xr:uid="{7D56CBC0-EFFC-4A4E-A8C0-A391AF7B84B2}"/>
    <cellStyle name="Normal 4 8 5 4" xfId="10655" xr:uid="{A3991593-8122-42DD-BB33-A8B632CADEFA}"/>
    <cellStyle name="Normal 4 8 6" xfId="2560" xr:uid="{00000000-0005-0000-0000-0000DA160000}"/>
    <cellStyle name="Normal 4 8 6 2" xfId="6844" xr:uid="{00000000-0005-0000-0000-0000DB160000}"/>
    <cellStyle name="Normal 4 8 6 2 2" xfId="15286" xr:uid="{51A5DF08-5270-4068-9BF7-66E6A027A06E}"/>
    <cellStyle name="Normal 4 8 6 3" xfId="11068" xr:uid="{D645A5E7-AE74-46E9-B187-CE25D4B2D385}"/>
    <cellStyle name="Normal 4 8 7" xfId="4779" xr:uid="{00000000-0005-0000-0000-0000DC160000}"/>
    <cellStyle name="Normal 4 8 7 2" xfId="13221" xr:uid="{083C70D2-F5A2-47E6-B8E7-104007B3BFA5}"/>
    <cellStyle name="Normal 4 8 8" xfId="9003" xr:uid="{1612B4BB-06E5-4056-8BEB-0AE7B1782920}"/>
    <cellStyle name="Normal 4 9" xfId="4716" xr:uid="{00000000-0005-0000-0000-0000DD160000}"/>
    <cellStyle name="Normal 4 9 2" xfId="13158" xr:uid="{6C493209-2F5B-469A-949E-2709E9DE43C7}"/>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572C3315-85EB-498B-8111-F7C50325EF63}"/>
    <cellStyle name="Normal 5 10 2 3" xfId="12388" xr:uid="{6625DDF6-6072-4A08-AEC4-3173D81E0064}"/>
    <cellStyle name="Normal 5 10 3" xfId="6019" xr:uid="{00000000-0005-0000-0000-0000E2160000}"/>
    <cellStyle name="Normal 5 10 3 2" xfId="14461" xr:uid="{FD6845DB-B9DF-4C03-AF4A-B6E5D602AA9E}"/>
    <cellStyle name="Normal 5 10 4" xfId="10243" xr:uid="{76CA7C53-2CB0-4FA2-A69D-42594EC3E69D}"/>
    <cellStyle name="Normal 5 11" xfId="2125" xr:uid="{00000000-0005-0000-0000-0000E3160000}"/>
    <cellStyle name="Normal 5 11 2" xfId="4354" xr:uid="{00000000-0005-0000-0000-0000E4160000}"/>
    <cellStyle name="Normal 5 11 2 2" xfId="8577" xr:uid="{00000000-0005-0000-0000-0000E5160000}"/>
    <cellStyle name="Normal 5 11 2 2 2" xfId="17019" xr:uid="{E1761748-238E-4840-BA0A-E41CE7423B03}"/>
    <cellStyle name="Normal 5 11 2 3" xfId="12801" xr:uid="{A9EB2DAF-0F4C-4DFB-85E6-6F7CA0C95307}"/>
    <cellStyle name="Normal 5 11 3" xfId="6432" xr:uid="{00000000-0005-0000-0000-0000E6160000}"/>
    <cellStyle name="Normal 5 11 3 2" xfId="14874" xr:uid="{20E37B70-64A9-4E08-B194-75FAFADC02E4}"/>
    <cellStyle name="Normal 5 11 4" xfId="10656" xr:uid="{9DAF6062-9520-4A11-B27F-E93E5C016D15}"/>
    <cellStyle name="Normal 5 12" xfId="2561" xr:uid="{00000000-0005-0000-0000-0000E7160000}"/>
    <cellStyle name="Normal 5 12 2" xfId="6845" xr:uid="{00000000-0005-0000-0000-0000E8160000}"/>
    <cellStyle name="Normal 5 12 2 2" xfId="15287" xr:uid="{F5CC43C0-DEB5-48D2-B92C-2F3120F13567}"/>
    <cellStyle name="Normal 5 12 3" xfId="11069" xr:uid="{32E11684-C450-4F94-A442-7DFADC0C8B44}"/>
    <cellStyle name="Normal 5 13" xfId="4780" xr:uid="{00000000-0005-0000-0000-0000E9160000}"/>
    <cellStyle name="Normal 5 13 2" xfId="13222" xr:uid="{B3B774BE-09F2-47AE-8081-9A90B8D4028E}"/>
    <cellStyle name="Normal 5 14" xfId="9004" xr:uid="{0BC92D5C-284E-4F96-91C6-C25D950E8B21}"/>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3812DE00-7448-442B-890C-D3E9E750AE32}"/>
    <cellStyle name="Normal 5 2 10 2 3" xfId="12802" xr:uid="{05428998-9883-43A1-9456-1C661A0807BF}"/>
    <cellStyle name="Normal 5 2 10 3" xfId="6433" xr:uid="{00000000-0005-0000-0000-0000EE160000}"/>
    <cellStyle name="Normal 5 2 10 3 2" xfId="14875" xr:uid="{8AEC361D-95B3-4B24-848E-49C1736CFAAA}"/>
    <cellStyle name="Normal 5 2 10 4" xfId="10657" xr:uid="{240CF82A-CF5D-4B26-8C38-61068432028E}"/>
    <cellStyle name="Normal 5 2 11" xfId="2562" xr:uid="{00000000-0005-0000-0000-0000EF160000}"/>
    <cellStyle name="Normal 5 2 11 2" xfId="6846" xr:uid="{00000000-0005-0000-0000-0000F0160000}"/>
    <cellStyle name="Normal 5 2 11 2 2" xfId="15288" xr:uid="{AD39A53D-222D-42ED-A35C-0E9FD99F5587}"/>
    <cellStyle name="Normal 5 2 11 3" xfId="11070" xr:uid="{B3480A78-3833-4C85-ADCB-57F0128E6DEC}"/>
    <cellStyle name="Normal 5 2 12" xfId="4781" xr:uid="{00000000-0005-0000-0000-0000F1160000}"/>
    <cellStyle name="Normal 5 2 12 2" xfId="13223" xr:uid="{74C73F27-2BE4-4BCA-9245-B16964B9510F}"/>
    <cellStyle name="Normal 5 2 13" xfId="9005" xr:uid="{F3038EA1-A4B3-4EA1-967C-04863263B6CE}"/>
    <cellStyle name="Normal 5 2 2" xfId="408" xr:uid="{00000000-0005-0000-0000-0000F2160000}"/>
    <cellStyle name="Normal 5 2 2 10" xfId="2563" xr:uid="{00000000-0005-0000-0000-0000F3160000}"/>
    <cellStyle name="Normal 5 2 2 10 2" xfId="6847" xr:uid="{00000000-0005-0000-0000-0000F4160000}"/>
    <cellStyle name="Normal 5 2 2 10 2 2" xfId="15289" xr:uid="{E321BA0E-9EDF-40B3-8B30-65464DEAC3F8}"/>
    <cellStyle name="Normal 5 2 2 10 3" xfId="11071" xr:uid="{72695D41-93EC-4C86-ADC0-E6313096A266}"/>
    <cellStyle name="Normal 5 2 2 11" xfId="4782" xr:uid="{00000000-0005-0000-0000-0000F5160000}"/>
    <cellStyle name="Normal 5 2 2 11 2" xfId="13224" xr:uid="{A37105A2-EBE0-4DF0-B190-97DA574E087A}"/>
    <cellStyle name="Normal 5 2 2 12" xfId="9006" xr:uid="{F88608B3-6580-482F-8C0A-6999F8AD1753}"/>
    <cellStyle name="Normal 5 2 2 2" xfId="409" xr:uid="{00000000-0005-0000-0000-0000F6160000}"/>
    <cellStyle name="Normal 5 2 2 2 10" xfId="4783" xr:uid="{00000000-0005-0000-0000-0000F7160000}"/>
    <cellStyle name="Normal 5 2 2 2 10 2" xfId="13225" xr:uid="{F3E063E2-BEFA-4F55-A099-94D006B2970B}"/>
    <cellStyle name="Normal 5 2 2 2 11" xfId="9007" xr:uid="{EC806D93-5142-467A-8526-54741027C101}"/>
    <cellStyle name="Normal 5 2 2 2 2" xfId="410" xr:uid="{00000000-0005-0000-0000-0000F8160000}"/>
    <cellStyle name="Normal 5 2 2 2 2 10" xfId="9008" xr:uid="{17C1AD26-B8FE-411D-B1ED-A2426E235C88}"/>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57818215-18DC-498C-8171-BA54DB80B662}"/>
    <cellStyle name="Normal 5 2 2 2 2 2 2 2 2 3" xfId="11568" xr:uid="{949D1E3B-6774-4448-B815-B1DEC60F57A4}"/>
    <cellStyle name="Normal 5 2 2 2 2 2 2 2 3" xfId="5199" xr:uid="{00000000-0005-0000-0000-0000FE160000}"/>
    <cellStyle name="Normal 5 2 2 2 2 2 2 2 3 2" xfId="13641" xr:uid="{481285A7-AC4B-49C2-8EAF-7C45DF2BC90D}"/>
    <cellStyle name="Normal 5 2 2 2 2 2 2 2 4" xfId="9423" xr:uid="{CB86A56A-D5CE-4FDA-8924-147A8A12A737}"/>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E8B68376-AA50-45CF-B35E-3FA8040DF16B}"/>
    <cellStyle name="Normal 5 2 2 2 2 2 2 3 2 3" xfId="11981" xr:uid="{FEB82234-118F-4676-A7B7-FAE95CEA502E}"/>
    <cellStyle name="Normal 5 2 2 2 2 2 2 3 3" xfId="5612" xr:uid="{00000000-0005-0000-0000-000002170000}"/>
    <cellStyle name="Normal 5 2 2 2 2 2 2 3 3 2" xfId="14054" xr:uid="{0980AA6D-5FE7-4169-A4FB-8210422964CB}"/>
    <cellStyle name="Normal 5 2 2 2 2 2 2 3 4" xfId="9836" xr:uid="{3AE90445-7583-48C4-A2B2-BC3194225051}"/>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8F549E37-E068-4EED-BD21-45FB00C3CB14}"/>
    <cellStyle name="Normal 5 2 2 2 2 2 2 4 2 3" xfId="12394" xr:uid="{518E570E-1373-4C4C-AACC-F5574D806E61}"/>
    <cellStyle name="Normal 5 2 2 2 2 2 2 4 3" xfId="6025" xr:uid="{00000000-0005-0000-0000-000006170000}"/>
    <cellStyle name="Normal 5 2 2 2 2 2 2 4 3 2" xfId="14467" xr:uid="{057E6448-DB44-4960-B430-81FFAF6F759A}"/>
    <cellStyle name="Normal 5 2 2 2 2 2 2 4 4" xfId="10249" xr:uid="{98BAE945-1F22-4B04-8DC7-61DC63FB29CD}"/>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3015BF73-66EA-4E56-A08C-9962AB7D1B10}"/>
    <cellStyle name="Normal 5 2 2 2 2 2 2 5 2 3" xfId="12807" xr:uid="{56F4C418-77DE-4641-AF1D-F2F1FFA02A79}"/>
    <cellStyle name="Normal 5 2 2 2 2 2 2 5 3" xfId="6438" xr:uid="{00000000-0005-0000-0000-00000A170000}"/>
    <cellStyle name="Normal 5 2 2 2 2 2 2 5 3 2" xfId="14880" xr:uid="{0B31FC22-82BD-41B6-9FB0-8BE7D7950289}"/>
    <cellStyle name="Normal 5 2 2 2 2 2 2 5 4" xfId="10662" xr:uid="{4573EA0D-166A-4EDD-AE3A-506FD9548456}"/>
    <cellStyle name="Normal 5 2 2 2 2 2 2 6" xfId="2567" xr:uid="{00000000-0005-0000-0000-00000B170000}"/>
    <cellStyle name="Normal 5 2 2 2 2 2 2 6 2" xfId="6851" xr:uid="{00000000-0005-0000-0000-00000C170000}"/>
    <cellStyle name="Normal 5 2 2 2 2 2 2 6 2 2" xfId="15293" xr:uid="{B1866403-257B-406A-B1EF-50D777E8A80A}"/>
    <cellStyle name="Normal 5 2 2 2 2 2 2 6 3" xfId="11075" xr:uid="{155DED90-04F3-4549-AAB9-E8C7C24C8838}"/>
    <cellStyle name="Normal 5 2 2 2 2 2 2 7" xfId="4786" xr:uid="{00000000-0005-0000-0000-00000D170000}"/>
    <cellStyle name="Normal 5 2 2 2 2 2 2 7 2" xfId="13228" xr:uid="{5A17367D-3218-4D33-BED2-7006EAE1DC60}"/>
    <cellStyle name="Normal 5 2 2 2 2 2 2 8" xfId="9010" xr:uid="{AA459778-BB40-40E9-8121-D8E517AB4AA7}"/>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C1FEE033-212E-4B9D-ACD0-712C2DD54B8D}"/>
    <cellStyle name="Normal 5 2 2 2 2 2 3 2 3" xfId="11567" xr:uid="{DE0B6997-7BCD-49F3-804A-547D4206D671}"/>
    <cellStyle name="Normal 5 2 2 2 2 2 3 3" xfId="5198" xr:uid="{00000000-0005-0000-0000-000011170000}"/>
    <cellStyle name="Normal 5 2 2 2 2 2 3 3 2" xfId="13640" xr:uid="{A78E8874-36CF-4167-B777-47860A79888F}"/>
    <cellStyle name="Normal 5 2 2 2 2 2 3 4" xfId="9422" xr:uid="{87D0FA23-9978-4CAD-8B43-C636882D6F0D}"/>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17854679-7550-4697-AA12-47480D0A40C9}"/>
    <cellStyle name="Normal 5 2 2 2 2 2 4 2 3" xfId="11980" xr:uid="{0DDD9C1C-C9B8-46C3-AE33-65C2FB4E507E}"/>
    <cellStyle name="Normal 5 2 2 2 2 2 4 3" xfId="5611" xr:uid="{00000000-0005-0000-0000-000015170000}"/>
    <cellStyle name="Normal 5 2 2 2 2 2 4 3 2" xfId="14053" xr:uid="{75654ED0-19DE-487E-95F5-F4E8EEADE90C}"/>
    <cellStyle name="Normal 5 2 2 2 2 2 4 4" xfId="9835" xr:uid="{19C73347-6B04-4794-A9E4-5E7043FE57F4}"/>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9AC1D5B7-4CE4-4D01-946A-22D73DC10AAC}"/>
    <cellStyle name="Normal 5 2 2 2 2 2 5 2 3" xfId="12393" xr:uid="{EA6B2EF7-D8FA-48C4-9044-2A0FC9B341D2}"/>
    <cellStyle name="Normal 5 2 2 2 2 2 5 3" xfId="6024" xr:uid="{00000000-0005-0000-0000-000019170000}"/>
    <cellStyle name="Normal 5 2 2 2 2 2 5 3 2" xfId="14466" xr:uid="{09E068B4-1E85-4101-8AED-FD9F7FA30E16}"/>
    <cellStyle name="Normal 5 2 2 2 2 2 5 4" xfId="10248" xr:uid="{EDAC8AF7-37B8-4A3A-A3D9-58864233E98F}"/>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58886B52-1C82-46B2-8745-7A2891ED031C}"/>
    <cellStyle name="Normal 5 2 2 2 2 2 6 2 3" xfId="12806" xr:uid="{788B1B78-1867-4E4F-9B5C-4B0EB47BA1B2}"/>
    <cellStyle name="Normal 5 2 2 2 2 2 6 3" xfId="6437" xr:uid="{00000000-0005-0000-0000-00001D170000}"/>
    <cellStyle name="Normal 5 2 2 2 2 2 6 3 2" xfId="14879" xr:uid="{A813BD2C-7EE8-4AA2-93D8-B2A92B150DC2}"/>
    <cellStyle name="Normal 5 2 2 2 2 2 6 4" xfId="10661" xr:uid="{AB83F9EC-55A0-4358-AEF1-48F8B02E4B03}"/>
    <cellStyle name="Normal 5 2 2 2 2 2 7" xfId="2566" xr:uid="{00000000-0005-0000-0000-00001E170000}"/>
    <cellStyle name="Normal 5 2 2 2 2 2 7 2" xfId="6850" xr:uid="{00000000-0005-0000-0000-00001F170000}"/>
    <cellStyle name="Normal 5 2 2 2 2 2 7 2 2" xfId="15292" xr:uid="{C8D4C992-3DD2-4F45-9FE9-B44217F664B8}"/>
    <cellStyle name="Normal 5 2 2 2 2 2 7 3" xfId="11074" xr:uid="{95566CCF-D75E-41C3-A0DD-8C54C5675885}"/>
    <cellStyle name="Normal 5 2 2 2 2 2 8" xfId="4785" xr:uid="{00000000-0005-0000-0000-000020170000}"/>
    <cellStyle name="Normal 5 2 2 2 2 2 8 2" xfId="13227" xr:uid="{41F0ED4B-1FAA-4865-9020-8185EE49D665}"/>
    <cellStyle name="Normal 5 2 2 2 2 2 9" xfId="9009" xr:uid="{0A24A962-1D49-4DFB-A866-53A8C53B644B}"/>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62DFCFCC-7522-40F0-9964-D0F462062347}"/>
    <cellStyle name="Normal 5 2 2 2 2 3 2 2 3" xfId="11569" xr:uid="{754C981A-351E-40A0-B3F8-DFB8049E06FD}"/>
    <cellStyle name="Normal 5 2 2 2 2 3 2 3" xfId="5200" xr:uid="{00000000-0005-0000-0000-000025170000}"/>
    <cellStyle name="Normal 5 2 2 2 2 3 2 3 2" xfId="13642" xr:uid="{340C31F9-A904-421D-BAE3-416497B44D1D}"/>
    <cellStyle name="Normal 5 2 2 2 2 3 2 4" xfId="9424" xr:uid="{6F5E8A67-3F9C-41FF-8684-F49177EDA094}"/>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F0FEE72B-59C2-42B2-97BE-B3313FF694D9}"/>
    <cellStyle name="Normal 5 2 2 2 2 3 3 2 3" xfId="11982" xr:uid="{CC189FEE-E108-4638-88C8-44A64BA9E304}"/>
    <cellStyle name="Normal 5 2 2 2 2 3 3 3" xfId="5613" xr:uid="{00000000-0005-0000-0000-000029170000}"/>
    <cellStyle name="Normal 5 2 2 2 2 3 3 3 2" xfId="14055" xr:uid="{139D7C6A-DA08-4294-A3C7-9D8D1BA0D9CC}"/>
    <cellStyle name="Normal 5 2 2 2 2 3 3 4" xfId="9837" xr:uid="{2FE656FD-A086-4D47-B29B-4E81BAAD73D2}"/>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3EE37AFF-380C-48E9-AB6A-D1B21FC1A096}"/>
    <cellStyle name="Normal 5 2 2 2 2 3 4 2 3" xfId="12395" xr:uid="{1C4D582B-78F1-4AC2-84E7-10067C03EEB1}"/>
    <cellStyle name="Normal 5 2 2 2 2 3 4 3" xfId="6026" xr:uid="{00000000-0005-0000-0000-00002D170000}"/>
    <cellStyle name="Normal 5 2 2 2 2 3 4 3 2" xfId="14468" xr:uid="{B9D4A5E0-9F63-47A3-89BA-2D297417FC8F}"/>
    <cellStyle name="Normal 5 2 2 2 2 3 4 4" xfId="10250" xr:uid="{4A97FE13-4A4A-49D2-8324-9BA63C3A9249}"/>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C48ECF8D-AE9A-4EE1-A3F0-833536D2ABAE}"/>
    <cellStyle name="Normal 5 2 2 2 2 3 5 2 3" xfId="12808" xr:uid="{609013A4-E636-41E3-B884-00B5227468D2}"/>
    <cellStyle name="Normal 5 2 2 2 2 3 5 3" xfId="6439" xr:uid="{00000000-0005-0000-0000-000031170000}"/>
    <cellStyle name="Normal 5 2 2 2 2 3 5 3 2" xfId="14881" xr:uid="{BFE10A7C-86D6-4799-B7E5-C1A254BB4882}"/>
    <cellStyle name="Normal 5 2 2 2 2 3 5 4" xfId="10663" xr:uid="{6735A703-F80E-480A-83B7-0705C5877275}"/>
    <cellStyle name="Normal 5 2 2 2 2 3 6" xfId="2568" xr:uid="{00000000-0005-0000-0000-000032170000}"/>
    <cellStyle name="Normal 5 2 2 2 2 3 6 2" xfId="6852" xr:uid="{00000000-0005-0000-0000-000033170000}"/>
    <cellStyle name="Normal 5 2 2 2 2 3 6 2 2" xfId="15294" xr:uid="{13B13AF6-F687-455C-907F-C845FBC965D9}"/>
    <cellStyle name="Normal 5 2 2 2 2 3 6 3" xfId="11076" xr:uid="{25AE47A4-594E-4134-A10D-58E2632508BD}"/>
    <cellStyle name="Normal 5 2 2 2 2 3 7" xfId="4787" xr:uid="{00000000-0005-0000-0000-000034170000}"/>
    <cellStyle name="Normal 5 2 2 2 2 3 7 2" xfId="13229" xr:uid="{F7A8EEBD-AC9A-4313-B5D5-9DB3C486F94C}"/>
    <cellStyle name="Normal 5 2 2 2 2 3 8" xfId="9011" xr:uid="{76E6113A-BBF6-4237-B8A6-8548F5D4534B}"/>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B5D0DAF1-BE08-4F3F-BB48-616CDABC9AA4}"/>
    <cellStyle name="Normal 5 2 2 2 2 4 2 3" xfId="11566" xr:uid="{18A052A0-0068-497E-9FEB-840EEA11F613}"/>
    <cellStyle name="Normal 5 2 2 2 2 4 3" xfId="5197" xr:uid="{00000000-0005-0000-0000-000038170000}"/>
    <cellStyle name="Normal 5 2 2 2 2 4 3 2" xfId="13639" xr:uid="{D5C94032-BC1D-4F4E-8790-77B39B0D6CC8}"/>
    <cellStyle name="Normal 5 2 2 2 2 4 4" xfId="9421" xr:uid="{3D7BAE14-C12E-44E1-981F-91AC9F244536}"/>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D36E6283-825D-40CD-AFDB-565A4DE810CF}"/>
    <cellStyle name="Normal 5 2 2 2 2 5 2 3" xfId="11979" xr:uid="{C4AD9B2F-7A05-4D3C-911F-FF57A51E9EEC}"/>
    <cellStyle name="Normal 5 2 2 2 2 5 3" xfId="5610" xr:uid="{00000000-0005-0000-0000-00003C170000}"/>
    <cellStyle name="Normal 5 2 2 2 2 5 3 2" xfId="14052" xr:uid="{007FFA44-7958-4713-9A74-30159EB979EF}"/>
    <cellStyle name="Normal 5 2 2 2 2 5 4" xfId="9834" xr:uid="{9CA35D9A-1350-4273-974B-FFC92EEC067F}"/>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80A21DAF-6E41-4FAB-A703-7DBABEA6212F}"/>
    <cellStyle name="Normal 5 2 2 2 2 6 2 3" xfId="12392" xr:uid="{0F105EDD-54D5-44A6-99E5-EFC68FFED593}"/>
    <cellStyle name="Normal 5 2 2 2 2 6 3" xfId="6023" xr:uid="{00000000-0005-0000-0000-000040170000}"/>
    <cellStyle name="Normal 5 2 2 2 2 6 3 2" xfId="14465" xr:uid="{C47799F6-073C-420F-B565-EB5DEEBD254A}"/>
    <cellStyle name="Normal 5 2 2 2 2 6 4" xfId="10247" xr:uid="{EC34F7AF-A5C5-4297-9868-ADDA1A53FC5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28E682B2-3494-4A33-881A-F62AFA71B101}"/>
    <cellStyle name="Normal 5 2 2 2 2 7 2 3" xfId="12805" xr:uid="{40798D33-CF64-4F48-AA2C-BA31F6DECCA6}"/>
    <cellStyle name="Normal 5 2 2 2 2 7 3" xfId="6436" xr:uid="{00000000-0005-0000-0000-000044170000}"/>
    <cellStyle name="Normal 5 2 2 2 2 7 3 2" xfId="14878" xr:uid="{10962F74-A789-454C-AFE5-C94E7D9EF4E4}"/>
    <cellStyle name="Normal 5 2 2 2 2 7 4" xfId="10660" xr:uid="{E5736AC7-EB30-4855-97AC-CEA24AC9851B}"/>
    <cellStyle name="Normal 5 2 2 2 2 8" xfId="2565" xr:uid="{00000000-0005-0000-0000-000045170000}"/>
    <cellStyle name="Normal 5 2 2 2 2 8 2" xfId="6849" xr:uid="{00000000-0005-0000-0000-000046170000}"/>
    <cellStyle name="Normal 5 2 2 2 2 8 2 2" xfId="15291" xr:uid="{E08AA156-6237-4788-94DA-530C20F96B7B}"/>
    <cellStyle name="Normal 5 2 2 2 2 8 3" xfId="11073" xr:uid="{94655BB2-C65E-4F59-86C8-73B04581FAD8}"/>
    <cellStyle name="Normal 5 2 2 2 2 9" xfId="4784" xr:uid="{00000000-0005-0000-0000-000047170000}"/>
    <cellStyle name="Normal 5 2 2 2 2 9 2" xfId="13226" xr:uid="{8DCA2389-710E-49C7-A0CC-008E3B66CCB4}"/>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20F4F5C8-6279-433D-AA60-65662C6EDAA4}"/>
    <cellStyle name="Normal 5 2 2 2 3 2 2 2 3" xfId="11571" xr:uid="{6EAC3AEC-4DD7-41EF-A061-DCEC4E0D8DF0}"/>
    <cellStyle name="Normal 5 2 2 2 3 2 2 3" xfId="5202" xr:uid="{00000000-0005-0000-0000-00004D170000}"/>
    <cellStyle name="Normal 5 2 2 2 3 2 2 3 2" xfId="13644" xr:uid="{D649F811-75B1-4E9C-BE9B-63561B620294}"/>
    <cellStyle name="Normal 5 2 2 2 3 2 2 4" xfId="9426" xr:uid="{87B1770A-8383-4439-AFF8-DF133BC89D6A}"/>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6B16A049-08B4-40DB-A425-87BF71DEE6E8}"/>
    <cellStyle name="Normal 5 2 2 2 3 2 3 2 3" xfId="11984" xr:uid="{420AA9A8-428A-47F2-84F5-D7798CE3ED33}"/>
    <cellStyle name="Normal 5 2 2 2 3 2 3 3" xfId="5615" xr:uid="{00000000-0005-0000-0000-000051170000}"/>
    <cellStyle name="Normal 5 2 2 2 3 2 3 3 2" xfId="14057" xr:uid="{B6C9D5B4-4A23-4AD0-B3F8-DFB494516296}"/>
    <cellStyle name="Normal 5 2 2 2 3 2 3 4" xfId="9839" xr:uid="{F8395663-FF6B-4463-9E4E-29E3BFDEB40A}"/>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16997F93-203B-4575-861E-CB5B5049B4DC}"/>
    <cellStyle name="Normal 5 2 2 2 3 2 4 2 3" xfId="12397" xr:uid="{98E31039-166F-430D-85D8-804F24DCA40E}"/>
    <cellStyle name="Normal 5 2 2 2 3 2 4 3" xfId="6028" xr:uid="{00000000-0005-0000-0000-000055170000}"/>
    <cellStyle name="Normal 5 2 2 2 3 2 4 3 2" xfId="14470" xr:uid="{1599B881-E936-4EB1-9456-B63AC73B2C67}"/>
    <cellStyle name="Normal 5 2 2 2 3 2 4 4" xfId="10252" xr:uid="{C1ABD597-F970-4495-A941-5F8023BFD032}"/>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2682F849-F502-4CF1-86BE-DBA3ECA318B9}"/>
    <cellStyle name="Normal 5 2 2 2 3 2 5 2 3" xfId="12810" xr:uid="{A5117A68-CC54-4A67-A4EB-B89BE69E0925}"/>
    <cellStyle name="Normal 5 2 2 2 3 2 5 3" xfId="6441" xr:uid="{00000000-0005-0000-0000-000059170000}"/>
    <cellStyle name="Normal 5 2 2 2 3 2 5 3 2" xfId="14883" xr:uid="{A8184759-A66C-49AE-931A-1D16905CECAC}"/>
    <cellStyle name="Normal 5 2 2 2 3 2 5 4" xfId="10665" xr:uid="{6E6F2AAA-0747-481F-A0FD-5163F7CE553C}"/>
    <cellStyle name="Normal 5 2 2 2 3 2 6" xfId="2570" xr:uid="{00000000-0005-0000-0000-00005A170000}"/>
    <cellStyle name="Normal 5 2 2 2 3 2 6 2" xfId="6854" xr:uid="{00000000-0005-0000-0000-00005B170000}"/>
    <cellStyle name="Normal 5 2 2 2 3 2 6 2 2" xfId="15296" xr:uid="{607D3255-80E2-4CFD-9131-2DB9037727A3}"/>
    <cellStyle name="Normal 5 2 2 2 3 2 6 3" xfId="11078" xr:uid="{292DDD69-C980-47F2-930C-9F646CBC3218}"/>
    <cellStyle name="Normal 5 2 2 2 3 2 7" xfId="4789" xr:uid="{00000000-0005-0000-0000-00005C170000}"/>
    <cellStyle name="Normal 5 2 2 2 3 2 7 2" xfId="13231" xr:uid="{82723FDD-3A5A-4543-BEC0-F9C35626FEED}"/>
    <cellStyle name="Normal 5 2 2 2 3 2 8" xfId="9013" xr:uid="{718AD7EC-710D-4B78-9DF7-279F9486854F}"/>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16DBE6D7-B452-4AF4-9A3D-60D48F2D46F7}"/>
    <cellStyle name="Normal 5 2 2 2 3 3 2 3" xfId="11570" xr:uid="{3D70DD1B-E5A7-48A2-B9ED-CCC08B6416E2}"/>
    <cellStyle name="Normal 5 2 2 2 3 3 3" xfId="5201" xr:uid="{00000000-0005-0000-0000-000060170000}"/>
    <cellStyle name="Normal 5 2 2 2 3 3 3 2" xfId="13643" xr:uid="{72644578-D483-4ACE-9BCF-CE39D52F58BD}"/>
    <cellStyle name="Normal 5 2 2 2 3 3 4" xfId="9425" xr:uid="{3A82D625-19AD-4B7D-B230-09623B0B832F}"/>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9661D26B-851E-4C3E-9CA1-AACF1E72145C}"/>
    <cellStyle name="Normal 5 2 2 2 3 4 2 3" xfId="11983" xr:uid="{221EED84-1A97-4C3E-A8F2-CADC16F6D8C3}"/>
    <cellStyle name="Normal 5 2 2 2 3 4 3" xfId="5614" xr:uid="{00000000-0005-0000-0000-000064170000}"/>
    <cellStyle name="Normal 5 2 2 2 3 4 3 2" xfId="14056" xr:uid="{F699A03A-D3FC-4A29-A2C6-4E75FFF2A89D}"/>
    <cellStyle name="Normal 5 2 2 2 3 4 4" xfId="9838" xr:uid="{BAB52479-F732-472D-A741-73874F188D3A}"/>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498C24CB-F69D-432B-8DE3-9DE369E8CA1F}"/>
    <cellStyle name="Normal 5 2 2 2 3 5 2 3" xfId="12396" xr:uid="{63762119-7A8C-46A8-B0C5-0024038EDC83}"/>
    <cellStyle name="Normal 5 2 2 2 3 5 3" xfId="6027" xr:uid="{00000000-0005-0000-0000-000068170000}"/>
    <cellStyle name="Normal 5 2 2 2 3 5 3 2" xfId="14469" xr:uid="{62CEFD0B-ED15-4C6B-9B6E-F37C62F6D451}"/>
    <cellStyle name="Normal 5 2 2 2 3 5 4" xfId="10251" xr:uid="{7B4FBEC3-6B74-4A31-9104-AD6070624A68}"/>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E0640074-438F-4A01-BF6F-167DAD8714DF}"/>
    <cellStyle name="Normal 5 2 2 2 3 6 2 3" xfId="12809" xr:uid="{917F149D-6CDF-453B-9A68-214E78C6A2FA}"/>
    <cellStyle name="Normal 5 2 2 2 3 6 3" xfId="6440" xr:uid="{00000000-0005-0000-0000-00006C170000}"/>
    <cellStyle name="Normal 5 2 2 2 3 6 3 2" xfId="14882" xr:uid="{1A331484-7DF4-4DD4-9B35-EEED0504CB46}"/>
    <cellStyle name="Normal 5 2 2 2 3 6 4" xfId="10664" xr:uid="{268973C1-E139-4724-B35F-D85F6C607E7B}"/>
    <cellStyle name="Normal 5 2 2 2 3 7" xfId="2569" xr:uid="{00000000-0005-0000-0000-00006D170000}"/>
    <cellStyle name="Normal 5 2 2 2 3 7 2" xfId="6853" xr:uid="{00000000-0005-0000-0000-00006E170000}"/>
    <cellStyle name="Normal 5 2 2 2 3 7 2 2" xfId="15295" xr:uid="{B5032B18-7458-407A-A44E-217F0FE8850B}"/>
    <cellStyle name="Normal 5 2 2 2 3 7 3" xfId="11077" xr:uid="{36D6C554-9300-4E81-AC8B-AC8984B349E3}"/>
    <cellStyle name="Normal 5 2 2 2 3 8" xfId="4788" xr:uid="{00000000-0005-0000-0000-00006F170000}"/>
    <cellStyle name="Normal 5 2 2 2 3 8 2" xfId="13230" xr:uid="{80DB05E2-A160-4A15-9629-374D1EE2A834}"/>
    <cellStyle name="Normal 5 2 2 2 3 9" xfId="9012" xr:uid="{80913384-C9BD-45DE-B8C2-6756F1513927}"/>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31D7343B-C976-4BA7-AFA2-FC1E7C857859}"/>
    <cellStyle name="Normal 5 2 2 2 4 2 2 3" xfId="11572" xr:uid="{B4FAC2F2-8C15-4917-B46C-154A65128043}"/>
    <cellStyle name="Normal 5 2 2 2 4 2 3" xfId="5203" xr:uid="{00000000-0005-0000-0000-000074170000}"/>
    <cellStyle name="Normal 5 2 2 2 4 2 3 2" xfId="13645" xr:uid="{B5C253AF-EBF6-40D1-A740-8BD2A14C990C}"/>
    <cellStyle name="Normal 5 2 2 2 4 2 4" xfId="9427" xr:uid="{C356C66C-5FBF-4017-B2B6-BF1E31B31372}"/>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2FB2A61F-FAE4-46A9-A4F4-EAD0B4E1E1A9}"/>
    <cellStyle name="Normal 5 2 2 2 4 3 2 3" xfId="11985" xr:uid="{89D8D58D-65D8-475B-B8D2-FE96F1E84E6D}"/>
    <cellStyle name="Normal 5 2 2 2 4 3 3" xfId="5616" xr:uid="{00000000-0005-0000-0000-000078170000}"/>
    <cellStyle name="Normal 5 2 2 2 4 3 3 2" xfId="14058" xr:uid="{A91D5DEC-21A0-45A1-A5E0-318E45DAB176}"/>
    <cellStyle name="Normal 5 2 2 2 4 3 4" xfId="9840" xr:uid="{44E09CC3-BBF6-4238-9FFB-5823CF85868C}"/>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6D83705A-CE7E-480E-9C63-E803318C054B}"/>
    <cellStyle name="Normal 5 2 2 2 4 4 2 3" xfId="12398" xr:uid="{D4633CF9-7BC9-4176-B49B-FA1183A353AF}"/>
    <cellStyle name="Normal 5 2 2 2 4 4 3" xfId="6029" xr:uid="{00000000-0005-0000-0000-00007C170000}"/>
    <cellStyle name="Normal 5 2 2 2 4 4 3 2" xfId="14471" xr:uid="{FE42737B-C60A-433B-98C6-B455E611B60D}"/>
    <cellStyle name="Normal 5 2 2 2 4 4 4" xfId="10253" xr:uid="{E8D5F214-EFAE-439C-9D4C-195769D25C67}"/>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3E3AC828-ABAF-45AE-A620-B8442C22F4B7}"/>
    <cellStyle name="Normal 5 2 2 2 4 5 2 3" xfId="12811" xr:uid="{608213E5-126D-45F4-BEEF-8631386C6E48}"/>
    <cellStyle name="Normal 5 2 2 2 4 5 3" xfId="6442" xr:uid="{00000000-0005-0000-0000-000080170000}"/>
    <cellStyle name="Normal 5 2 2 2 4 5 3 2" xfId="14884" xr:uid="{049C3A1A-D3BF-4269-8297-613A12881208}"/>
    <cellStyle name="Normal 5 2 2 2 4 5 4" xfId="10666" xr:uid="{11E6180A-5753-47AD-94C3-E3CDC1860DC4}"/>
    <cellStyle name="Normal 5 2 2 2 4 6" xfId="2571" xr:uid="{00000000-0005-0000-0000-000081170000}"/>
    <cellStyle name="Normal 5 2 2 2 4 6 2" xfId="6855" xr:uid="{00000000-0005-0000-0000-000082170000}"/>
    <cellStyle name="Normal 5 2 2 2 4 6 2 2" xfId="15297" xr:uid="{39F5617C-8F6A-44A6-9EB7-CC29EC650EE1}"/>
    <cellStyle name="Normal 5 2 2 2 4 6 3" xfId="11079" xr:uid="{24FAAFCD-2CC6-42C8-8027-45996DC2D189}"/>
    <cellStyle name="Normal 5 2 2 2 4 7" xfId="4790" xr:uid="{00000000-0005-0000-0000-000083170000}"/>
    <cellStyle name="Normal 5 2 2 2 4 7 2" xfId="13232" xr:uid="{0F6737C4-77B4-433F-987A-31EC4EEB49F8}"/>
    <cellStyle name="Normal 5 2 2 2 4 8" xfId="9014" xr:uid="{EE8DA5AB-A7AD-4242-B16A-E3B0F288D9D1}"/>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4A4E1172-BF43-4B06-A32E-49EF087A927D}"/>
    <cellStyle name="Normal 5 2 2 2 5 2 3" xfId="11565" xr:uid="{B178BC4F-76E2-4C44-8D58-A1FA4C13CE05}"/>
    <cellStyle name="Normal 5 2 2 2 5 3" xfId="5196" xr:uid="{00000000-0005-0000-0000-000087170000}"/>
    <cellStyle name="Normal 5 2 2 2 5 3 2" xfId="13638" xr:uid="{CAB4CC02-30BC-42DE-B5D7-A9CFA6AE65FA}"/>
    <cellStyle name="Normal 5 2 2 2 5 4" xfId="9420" xr:uid="{E2661C02-8031-4096-BFE0-A628DC1A46C8}"/>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01FCF6E3-6AFB-448B-A86B-588EA5B89C46}"/>
    <cellStyle name="Normal 5 2 2 2 6 2 3" xfId="11978" xr:uid="{E55A9C2E-49F8-4594-AE0B-03DD2012A95D}"/>
    <cellStyle name="Normal 5 2 2 2 6 3" xfId="5609" xr:uid="{00000000-0005-0000-0000-00008B170000}"/>
    <cellStyle name="Normal 5 2 2 2 6 3 2" xfId="14051" xr:uid="{CA961D16-267F-4774-A6E7-847D4514C721}"/>
    <cellStyle name="Normal 5 2 2 2 6 4" xfId="9833" xr:uid="{3452615A-A027-4122-9F9B-D34EBD4E9999}"/>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24B1095E-C3B6-4EA6-BC58-0FC15D6952C9}"/>
    <cellStyle name="Normal 5 2 2 2 7 2 3" xfId="12391" xr:uid="{26BBD125-07EA-4784-B566-A4A762C6F74B}"/>
    <cellStyle name="Normal 5 2 2 2 7 3" xfId="6022" xr:uid="{00000000-0005-0000-0000-00008F170000}"/>
    <cellStyle name="Normal 5 2 2 2 7 3 2" xfId="14464" xr:uid="{B3F331AC-7BE0-4275-83FA-3E0E48E26B55}"/>
    <cellStyle name="Normal 5 2 2 2 7 4" xfId="10246" xr:uid="{F01FBC40-A0F2-4BEC-9D8B-508638ABE400}"/>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A0F791AC-205A-479D-AE48-E79CDB498DC2}"/>
    <cellStyle name="Normal 5 2 2 2 8 2 3" xfId="12804" xr:uid="{8B8D1104-F069-4257-9430-6525D411D9D5}"/>
    <cellStyle name="Normal 5 2 2 2 8 3" xfId="6435" xr:uid="{00000000-0005-0000-0000-000093170000}"/>
    <cellStyle name="Normal 5 2 2 2 8 3 2" xfId="14877" xr:uid="{DE25F84B-1091-4BCD-A8C5-D2D9B8A467B3}"/>
    <cellStyle name="Normal 5 2 2 2 8 4" xfId="10659" xr:uid="{FECBBD4C-6575-4050-A49A-B0B78913E73E}"/>
    <cellStyle name="Normal 5 2 2 2 9" xfId="2564" xr:uid="{00000000-0005-0000-0000-000094170000}"/>
    <cellStyle name="Normal 5 2 2 2 9 2" xfId="6848" xr:uid="{00000000-0005-0000-0000-000095170000}"/>
    <cellStyle name="Normal 5 2 2 2 9 2 2" xfId="15290" xr:uid="{60D7FFD6-4DA4-41CA-816C-0B0CAE05028C}"/>
    <cellStyle name="Normal 5 2 2 2 9 3" xfId="11072" xr:uid="{B812AE8E-4125-4F6E-9C8D-0B0DB19E074E}"/>
    <cellStyle name="Normal 5 2 2 3" xfId="417" xr:uid="{00000000-0005-0000-0000-000096170000}"/>
    <cellStyle name="Normal 5 2 2 3 10" xfId="9015" xr:uid="{869C3EAE-8C18-4C8E-B6BA-CC340308BC94}"/>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0C2ABE88-BE68-4414-A357-000FB1B7039D}"/>
    <cellStyle name="Normal 5 2 2 3 2 2 2 2 3" xfId="11575" xr:uid="{47D7CD8F-77D6-4089-90A2-191C4C076B57}"/>
    <cellStyle name="Normal 5 2 2 3 2 2 2 3" xfId="5206" xr:uid="{00000000-0005-0000-0000-00009C170000}"/>
    <cellStyle name="Normal 5 2 2 3 2 2 2 3 2" xfId="13648" xr:uid="{AA635406-43ED-4541-BBE1-1BBBAF50DFC8}"/>
    <cellStyle name="Normal 5 2 2 3 2 2 2 4" xfId="9430" xr:uid="{CE4A6881-FF28-43F1-B10F-EA25D903AD42}"/>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A40F5CE0-5E8B-42CA-ADAC-4CEEB52C78EE}"/>
    <cellStyle name="Normal 5 2 2 3 2 2 3 2 3" xfId="11988" xr:uid="{DA3A413E-F7B8-4F26-896B-8337550EBEE4}"/>
    <cellStyle name="Normal 5 2 2 3 2 2 3 3" xfId="5619" xr:uid="{00000000-0005-0000-0000-0000A0170000}"/>
    <cellStyle name="Normal 5 2 2 3 2 2 3 3 2" xfId="14061" xr:uid="{F3646403-0BA8-473D-AAF2-3AC78B4CEE32}"/>
    <cellStyle name="Normal 5 2 2 3 2 2 3 4" xfId="9843" xr:uid="{FCA58554-FE3E-4DB6-8BC8-B5E12D89C54B}"/>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DAC0279C-9171-45CD-8411-0C8AF390220C}"/>
    <cellStyle name="Normal 5 2 2 3 2 2 4 2 3" xfId="12401" xr:uid="{C36C9567-7AC6-427F-98EE-2A2B2D78B1CA}"/>
    <cellStyle name="Normal 5 2 2 3 2 2 4 3" xfId="6032" xr:uid="{00000000-0005-0000-0000-0000A4170000}"/>
    <cellStyle name="Normal 5 2 2 3 2 2 4 3 2" xfId="14474" xr:uid="{A63895A9-B059-4611-9996-43ADA1A72FAE}"/>
    <cellStyle name="Normal 5 2 2 3 2 2 4 4" xfId="10256" xr:uid="{9569A1F5-4058-444F-85D7-76C51A2037F7}"/>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C365E561-58F8-4E76-8814-6BB5ABE8DFAF}"/>
    <cellStyle name="Normal 5 2 2 3 2 2 5 2 3" xfId="12814" xr:uid="{2704C148-1841-4090-A5B7-20F7EB045348}"/>
    <cellStyle name="Normal 5 2 2 3 2 2 5 3" xfId="6445" xr:uid="{00000000-0005-0000-0000-0000A8170000}"/>
    <cellStyle name="Normal 5 2 2 3 2 2 5 3 2" xfId="14887" xr:uid="{F561638D-004A-4E44-8949-98E0C1467EF6}"/>
    <cellStyle name="Normal 5 2 2 3 2 2 5 4" xfId="10669" xr:uid="{BA9A53DB-BFE7-40FB-85E1-BF9DE06D4C70}"/>
    <cellStyle name="Normal 5 2 2 3 2 2 6" xfId="2574" xr:uid="{00000000-0005-0000-0000-0000A9170000}"/>
    <cellStyle name="Normal 5 2 2 3 2 2 6 2" xfId="6858" xr:uid="{00000000-0005-0000-0000-0000AA170000}"/>
    <cellStyle name="Normal 5 2 2 3 2 2 6 2 2" xfId="15300" xr:uid="{50A7BA59-F147-4A60-BB19-95E416BFAD12}"/>
    <cellStyle name="Normal 5 2 2 3 2 2 6 3" xfId="11082" xr:uid="{66CA8C85-1B94-43FE-A5EB-D7A168B26EE6}"/>
    <cellStyle name="Normal 5 2 2 3 2 2 7" xfId="4793" xr:uid="{00000000-0005-0000-0000-0000AB170000}"/>
    <cellStyle name="Normal 5 2 2 3 2 2 7 2" xfId="13235" xr:uid="{92CFC3BF-FFD7-43CA-BA0C-D736D552D460}"/>
    <cellStyle name="Normal 5 2 2 3 2 2 8" xfId="9017" xr:uid="{7B6949A9-7749-4450-9876-1C49C579D4DE}"/>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70D8C024-8AF3-4F44-A9CC-ED67AC8A0358}"/>
    <cellStyle name="Normal 5 2 2 3 2 3 2 3" xfId="11574" xr:uid="{EBB1DD34-8B30-4286-8009-BC004E08118B}"/>
    <cellStyle name="Normal 5 2 2 3 2 3 3" xfId="5205" xr:uid="{00000000-0005-0000-0000-0000AF170000}"/>
    <cellStyle name="Normal 5 2 2 3 2 3 3 2" xfId="13647" xr:uid="{D141586C-7457-419D-867E-91E4895BE658}"/>
    <cellStyle name="Normal 5 2 2 3 2 3 4" xfId="9429" xr:uid="{B44A518C-B318-4DE2-8850-01581C626502}"/>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1C702333-C63F-4BFB-BB9A-20B2566B3C97}"/>
    <cellStyle name="Normal 5 2 2 3 2 4 2 3" xfId="11987" xr:uid="{DA6017DA-F569-4599-9465-26B832048F5D}"/>
    <cellStyle name="Normal 5 2 2 3 2 4 3" xfId="5618" xr:uid="{00000000-0005-0000-0000-0000B3170000}"/>
    <cellStyle name="Normal 5 2 2 3 2 4 3 2" xfId="14060" xr:uid="{3711C239-528C-495D-8F9B-6870A4F28D49}"/>
    <cellStyle name="Normal 5 2 2 3 2 4 4" xfId="9842" xr:uid="{2BA828D9-3472-4E9A-8DF8-176FC7618E05}"/>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1DD74A50-F54D-4FFE-9B9B-1FD381BBC64C}"/>
    <cellStyle name="Normal 5 2 2 3 2 5 2 3" xfId="12400" xr:uid="{7B78EDB5-8448-458F-A617-3EBC3FBE30EB}"/>
    <cellStyle name="Normal 5 2 2 3 2 5 3" xfId="6031" xr:uid="{00000000-0005-0000-0000-0000B7170000}"/>
    <cellStyle name="Normal 5 2 2 3 2 5 3 2" xfId="14473" xr:uid="{8D8B0CFA-03EB-4467-9866-58E3D5A0B131}"/>
    <cellStyle name="Normal 5 2 2 3 2 5 4" xfId="10255" xr:uid="{405370D1-2EFD-4670-8B38-A6A2FEEF0755}"/>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5074AD13-A462-46D1-818B-C5071B7CAB77}"/>
    <cellStyle name="Normal 5 2 2 3 2 6 2 3" xfId="12813" xr:uid="{8ACFFB39-4A4C-4868-B742-80C2B2A49A7F}"/>
    <cellStyle name="Normal 5 2 2 3 2 6 3" xfId="6444" xr:uid="{00000000-0005-0000-0000-0000BB170000}"/>
    <cellStyle name="Normal 5 2 2 3 2 6 3 2" xfId="14886" xr:uid="{DF1F971B-7458-4AC3-B64F-7614C44D0C65}"/>
    <cellStyle name="Normal 5 2 2 3 2 6 4" xfId="10668" xr:uid="{EF370F02-D820-44E5-BFE8-46753B1BFBD4}"/>
    <cellStyle name="Normal 5 2 2 3 2 7" xfId="2573" xr:uid="{00000000-0005-0000-0000-0000BC170000}"/>
    <cellStyle name="Normal 5 2 2 3 2 7 2" xfId="6857" xr:uid="{00000000-0005-0000-0000-0000BD170000}"/>
    <cellStyle name="Normal 5 2 2 3 2 7 2 2" xfId="15299" xr:uid="{C652C95A-BE6C-4FC6-ABFA-B4102448BBF6}"/>
    <cellStyle name="Normal 5 2 2 3 2 7 3" xfId="11081" xr:uid="{20CEB2F7-7CEE-4EC3-94BA-4A01F895D6E9}"/>
    <cellStyle name="Normal 5 2 2 3 2 8" xfId="4792" xr:uid="{00000000-0005-0000-0000-0000BE170000}"/>
    <cellStyle name="Normal 5 2 2 3 2 8 2" xfId="13234" xr:uid="{05CFE929-0AD8-408C-A35E-57663FE49343}"/>
    <cellStyle name="Normal 5 2 2 3 2 9" xfId="9016" xr:uid="{467D6588-8343-422F-9976-7C90676CC548}"/>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9C60A23D-1028-4DB4-B1A6-B013FE1E2C40}"/>
    <cellStyle name="Normal 5 2 2 3 3 2 2 3" xfId="11576" xr:uid="{B29A2AB3-7142-4C3D-B4E2-32A6E50422FF}"/>
    <cellStyle name="Normal 5 2 2 3 3 2 3" xfId="5207" xr:uid="{00000000-0005-0000-0000-0000C3170000}"/>
    <cellStyle name="Normal 5 2 2 3 3 2 3 2" xfId="13649" xr:uid="{1787CCD2-8F3D-4F22-81FE-040BFA9978CF}"/>
    <cellStyle name="Normal 5 2 2 3 3 2 4" xfId="9431" xr:uid="{F48BA570-CEAF-4A60-9675-15E5D4154276}"/>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234462AA-5951-47AC-B06C-C6B8EDB4287D}"/>
    <cellStyle name="Normal 5 2 2 3 3 3 2 3" xfId="11989" xr:uid="{D082B8C4-1ED5-47D4-82B4-EFDAE68D7F1D}"/>
    <cellStyle name="Normal 5 2 2 3 3 3 3" xfId="5620" xr:uid="{00000000-0005-0000-0000-0000C7170000}"/>
    <cellStyle name="Normal 5 2 2 3 3 3 3 2" xfId="14062" xr:uid="{982C2C9F-A68B-4E08-9406-458B33322D02}"/>
    <cellStyle name="Normal 5 2 2 3 3 3 4" xfId="9844" xr:uid="{3CDEA185-6880-408A-8EE5-44606010BD35}"/>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905F35DE-A98C-4297-9C74-B79001538B68}"/>
    <cellStyle name="Normal 5 2 2 3 3 4 2 3" xfId="12402" xr:uid="{2ECBC156-D9EF-4E3E-867A-CD66CABE4B5D}"/>
    <cellStyle name="Normal 5 2 2 3 3 4 3" xfId="6033" xr:uid="{00000000-0005-0000-0000-0000CB170000}"/>
    <cellStyle name="Normal 5 2 2 3 3 4 3 2" xfId="14475" xr:uid="{8BFC9136-87F6-482D-8166-0D84C99219C1}"/>
    <cellStyle name="Normal 5 2 2 3 3 4 4" xfId="10257" xr:uid="{73B36772-FCCB-4C39-BD91-85E5D389213C}"/>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79447335-45DA-4546-B294-91F5C81030FD}"/>
    <cellStyle name="Normal 5 2 2 3 3 5 2 3" xfId="12815" xr:uid="{07B9F879-4911-46DD-98A4-DF359AE5839A}"/>
    <cellStyle name="Normal 5 2 2 3 3 5 3" xfId="6446" xr:uid="{00000000-0005-0000-0000-0000CF170000}"/>
    <cellStyle name="Normal 5 2 2 3 3 5 3 2" xfId="14888" xr:uid="{B738BCB9-70EE-4A6E-8908-EC527201837E}"/>
    <cellStyle name="Normal 5 2 2 3 3 5 4" xfId="10670" xr:uid="{ED28F624-A7C9-4CAC-A607-D469D2192C10}"/>
    <cellStyle name="Normal 5 2 2 3 3 6" xfId="2575" xr:uid="{00000000-0005-0000-0000-0000D0170000}"/>
    <cellStyle name="Normal 5 2 2 3 3 6 2" xfId="6859" xr:uid="{00000000-0005-0000-0000-0000D1170000}"/>
    <cellStyle name="Normal 5 2 2 3 3 6 2 2" xfId="15301" xr:uid="{C2FC248E-60A8-4D18-AD7A-9F84524E85CD}"/>
    <cellStyle name="Normal 5 2 2 3 3 6 3" xfId="11083" xr:uid="{73DC1F1D-6148-48A7-B75C-146237983EBF}"/>
    <cellStyle name="Normal 5 2 2 3 3 7" xfId="4794" xr:uid="{00000000-0005-0000-0000-0000D2170000}"/>
    <cellStyle name="Normal 5 2 2 3 3 7 2" xfId="13236" xr:uid="{6ACC1C7C-015B-41C8-AF9C-15D013F230CF}"/>
    <cellStyle name="Normal 5 2 2 3 3 8" xfId="9018" xr:uid="{346E5D1E-EB67-4E95-A1D0-44D74186B585}"/>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4AFF41EA-E8EB-4B26-8A27-859AAC4E330A}"/>
    <cellStyle name="Normal 5 2 2 3 4 2 3" xfId="11573" xr:uid="{236F04F1-58E6-4D88-933B-772FB49C2E9D}"/>
    <cellStyle name="Normal 5 2 2 3 4 3" xfId="5204" xr:uid="{00000000-0005-0000-0000-0000D6170000}"/>
    <cellStyle name="Normal 5 2 2 3 4 3 2" xfId="13646" xr:uid="{54E437FD-BC58-4E48-B45A-EC4A0620EF22}"/>
    <cellStyle name="Normal 5 2 2 3 4 4" xfId="9428" xr:uid="{846885A0-5E79-44A3-BEA0-84AF0A09C52B}"/>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482D7EB5-E8D3-4A13-B054-892B30D548EB}"/>
    <cellStyle name="Normal 5 2 2 3 5 2 3" xfId="11986" xr:uid="{4746F695-B35E-41E1-85A3-32AC6538CEC6}"/>
    <cellStyle name="Normal 5 2 2 3 5 3" xfId="5617" xr:uid="{00000000-0005-0000-0000-0000DA170000}"/>
    <cellStyle name="Normal 5 2 2 3 5 3 2" xfId="14059" xr:uid="{3AA192AE-8007-4DE6-9F90-B7214BD60EB4}"/>
    <cellStyle name="Normal 5 2 2 3 5 4" xfId="9841" xr:uid="{80E890AE-1AFD-40E1-914D-5F35E5AF5CE6}"/>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FC1F3CBA-8DB0-4CED-A83D-F5CE3520D886}"/>
    <cellStyle name="Normal 5 2 2 3 6 2 3" xfId="12399" xr:uid="{67819208-2058-42B9-BCE8-0A10337FC5CC}"/>
    <cellStyle name="Normal 5 2 2 3 6 3" xfId="6030" xr:uid="{00000000-0005-0000-0000-0000DE170000}"/>
    <cellStyle name="Normal 5 2 2 3 6 3 2" xfId="14472" xr:uid="{738240B3-39B8-4E2A-BF10-5A34BDD6EC91}"/>
    <cellStyle name="Normal 5 2 2 3 6 4" xfId="10254" xr:uid="{99F5D704-C179-423C-B62C-46E72F848BD2}"/>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C2C6E95D-23B9-4F28-87D4-2248A97629A9}"/>
    <cellStyle name="Normal 5 2 2 3 7 2 3" xfId="12812" xr:uid="{C52E48D7-A913-4430-923F-3AA477FB29B1}"/>
    <cellStyle name="Normal 5 2 2 3 7 3" xfId="6443" xr:uid="{00000000-0005-0000-0000-0000E2170000}"/>
    <cellStyle name="Normal 5 2 2 3 7 3 2" xfId="14885" xr:uid="{C2E55867-7D9C-4D94-A5D0-47269C80A4F8}"/>
    <cellStyle name="Normal 5 2 2 3 7 4" xfId="10667" xr:uid="{C73E9AF1-8166-4B0D-BBD3-81A097297BEA}"/>
    <cellStyle name="Normal 5 2 2 3 8" xfId="2572" xr:uid="{00000000-0005-0000-0000-0000E3170000}"/>
    <cellStyle name="Normal 5 2 2 3 8 2" xfId="6856" xr:uid="{00000000-0005-0000-0000-0000E4170000}"/>
    <cellStyle name="Normal 5 2 2 3 8 2 2" xfId="15298" xr:uid="{72B6218C-3804-4556-8E45-0CD15951228D}"/>
    <cellStyle name="Normal 5 2 2 3 8 3" xfId="11080" xr:uid="{A510E61E-0EEF-4850-AA51-74A7808FF488}"/>
    <cellStyle name="Normal 5 2 2 3 9" xfId="4791" xr:uid="{00000000-0005-0000-0000-0000E5170000}"/>
    <cellStyle name="Normal 5 2 2 3 9 2" xfId="13233" xr:uid="{E26DEFEA-3017-4F9B-B7E8-BF41B75A2245}"/>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9E4B52A2-37BE-440E-98C4-3A439EDC1846}"/>
    <cellStyle name="Normal 5 2 2 4 2 2 2 3" xfId="11578" xr:uid="{9839758F-FA30-48FE-8748-10614552A5A5}"/>
    <cellStyle name="Normal 5 2 2 4 2 2 3" xfId="5209" xr:uid="{00000000-0005-0000-0000-0000EB170000}"/>
    <cellStyle name="Normal 5 2 2 4 2 2 3 2" xfId="13651" xr:uid="{FBA65CEE-9B94-4BCB-9F75-D9CF6112E8D1}"/>
    <cellStyle name="Normal 5 2 2 4 2 2 4" xfId="9433" xr:uid="{87943A2F-0012-4AB9-BF52-784C617F5FB2}"/>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E4E26EA3-5250-44E6-9D69-0868F0294501}"/>
    <cellStyle name="Normal 5 2 2 4 2 3 2 3" xfId="11991" xr:uid="{BD83850A-E195-4373-BD6C-C9EFF3485948}"/>
    <cellStyle name="Normal 5 2 2 4 2 3 3" xfId="5622" xr:uid="{00000000-0005-0000-0000-0000EF170000}"/>
    <cellStyle name="Normal 5 2 2 4 2 3 3 2" xfId="14064" xr:uid="{FB1F176C-D586-492C-9455-89771F7C0C3A}"/>
    <cellStyle name="Normal 5 2 2 4 2 3 4" xfId="9846" xr:uid="{CC55FAA9-797A-4DAC-8228-44D4CD7432DD}"/>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D2E4D95E-4037-4397-8AF2-4044274C048C}"/>
    <cellStyle name="Normal 5 2 2 4 2 4 2 3" xfId="12404" xr:uid="{91B6F9B9-5105-4E62-9ACD-81C62868EB00}"/>
    <cellStyle name="Normal 5 2 2 4 2 4 3" xfId="6035" xr:uid="{00000000-0005-0000-0000-0000F3170000}"/>
    <cellStyle name="Normal 5 2 2 4 2 4 3 2" xfId="14477" xr:uid="{9DAD8B64-5555-4FD8-9E77-EA5BDBF21DC5}"/>
    <cellStyle name="Normal 5 2 2 4 2 4 4" xfId="10259" xr:uid="{F4FA541E-6A9D-42EC-82C0-FDF71F013746}"/>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F824931D-7F5E-45CB-8678-B29D63BE8645}"/>
    <cellStyle name="Normal 5 2 2 4 2 5 2 3" xfId="12817" xr:uid="{86B4D161-840C-42A4-BFE7-32F987A4F0BC}"/>
    <cellStyle name="Normal 5 2 2 4 2 5 3" xfId="6448" xr:uid="{00000000-0005-0000-0000-0000F7170000}"/>
    <cellStyle name="Normal 5 2 2 4 2 5 3 2" xfId="14890" xr:uid="{B7CBB709-7436-4014-B457-93AFBD0C50C8}"/>
    <cellStyle name="Normal 5 2 2 4 2 5 4" xfId="10672" xr:uid="{452B15FA-5A71-4C49-AACE-F0A93ED398E9}"/>
    <cellStyle name="Normal 5 2 2 4 2 6" xfId="2577" xr:uid="{00000000-0005-0000-0000-0000F8170000}"/>
    <cellStyle name="Normal 5 2 2 4 2 6 2" xfId="6861" xr:uid="{00000000-0005-0000-0000-0000F9170000}"/>
    <cellStyle name="Normal 5 2 2 4 2 6 2 2" xfId="15303" xr:uid="{243BE362-6CB0-48FB-9903-8B97B6F8D0AC}"/>
    <cellStyle name="Normal 5 2 2 4 2 6 3" xfId="11085" xr:uid="{0C9A1AB7-AEB6-447A-9430-1701BF77B8D4}"/>
    <cellStyle name="Normal 5 2 2 4 2 7" xfId="4796" xr:uid="{00000000-0005-0000-0000-0000FA170000}"/>
    <cellStyle name="Normal 5 2 2 4 2 7 2" xfId="13238" xr:uid="{02FC6164-0977-4857-A3CE-7ED3E5F37F7A}"/>
    <cellStyle name="Normal 5 2 2 4 2 8" xfId="9020" xr:uid="{31EAE19A-8112-44C8-8FB1-B75257579D15}"/>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C80C4A44-C44A-42EA-A60A-3A77360EECAC}"/>
    <cellStyle name="Normal 5 2 2 4 3 2 3" xfId="11577" xr:uid="{A072BCF4-E498-46C0-A66C-B7E6BEB67559}"/>
    <cellStyle name="Normal 5 2 2 4 3 3" xfId="5208" xr:uid="{00000000-0005-0000-0000-0000FE170000}"/>
    <cellStyle name="Normal 5 2 2 4 3 3 2" xfId="13650" xr:uid="{6CC0A424-AEA6-4CE2-81B4-7668C74E70F9}"/>
    <cellStyle name="Normal 5 2 2 4 3 4" xfId="9432" xr:uid="{BA6997FB-46DE-46E8-A17C-0D8A15A2B01E}"/>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F3A848B8-57E8-45DE-9636-4E1E1EF9F007}"/>
    <cellStyle name="Normal 5 2 2 4 4 2 3" xfId="11990" xr:uid="{A079D272-07B2-4683-9DA5-3B81F1ADC872}"/>
    <cellStyle name="Normal 5 2 2 4 4 3" xfId="5621" xr:uid="{00000000-0005-0000-0000-000002180000}"/>
    <cellStyle name="Normal 5 2 2 4 4 3 2" xfId="14063" xr:uid="{0C8DFD49-591A-4A7A-AC25-59CACE0BD083}"/>
    <cellStyle name="Normal 5 2 2 4 4 4" xfId="9845" xr:uid="{CF7B45EE-D0ED-4B2C-A0DB-F32C8B0FE4E5}"/>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9F1C2461-E4D3-4336-BE66-83F1EAADEF67}"/>
    <cellStyle name="Normal 5 2 2 4 5 2 3" xfId="12403" xr:uid="{91A1C1DA-5BD0-480E-BEE3-F448593FEB6B}"/>
    <cellStyle name="Normal 5 2 2 4 5 3" xfId="6034" xr:uid="{00000000-0005-0000-0000-000006180000}"/>
    <cellStyle name="Normal 5 2 2 4 5 3 2" xfId="14476" xr:uid="{8E18DBBD-2736-4F3D-A0DA-20940ECB783D}"/>
    <cellStyle name="Normal 5 2 2 4 5 4" xfId="10258" xr:uid="{9C09E85B-F7A0-4903-8A33-E51F13919508}"/>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1442DB90-C3CE-4140-937C-1F8E3DB125B7}"/>
    <cellStyle name="Normal 5 2 2 4 6 2 3" xfId="12816" xr:uid="{9AD801E6-CF70-4006-9FC3-23112A4D418F}"/>
    <cellStyle name="Normal 5 2 2 4 6 3" xfId="6447" xr:uid="{00000000-0005-0000-0000-00000A180000}"/>
    <cellStyle name="Normal 5 2 2 4 6 3 2" xfId="14889" xr:uid="{D3AB4966-6135-4527-9C6C-C1E79932F6F0}"/>
    <cellStyle name="Normal 5 2 2 4 6 4" xfId="10671" xr:uid="{768388AD-A5C4-4732-97E0-0509ACE6C160}"/>
    <cellStyle name="Normal 5 2 2 4 7" xfId="2576" xr:uid="{00000000-0005-0000-0000-00000B180000}"/>
    <cellStyle name="Normal 5 2 2 4 7 2" xfId="6860" xr:uid="{00000000-0005-0000-0000-00000C180000}"/>
    <cellStyle name="Normal 5 2 2 4 7 2 2" xfId="15302" xr:uid="{CFD4CC08-1F67-4EE0-B735-484EF618BA3A}"/>
    <cellStyle name="Normal 5 2 2 4 7 3" xfId="11084" xr:uid="{63282A8D-71E1-4C03-A181-1A4670035CC7}"/>
    <cellStyle name="Normal 5 2 2 4 8" xfId="4795" xr:uid="{00000000-0005-0000-0000-00000D180000}"/>
    <cellStyle name="Normal 5 2 2 4 8 2" xfId="13237" xr:uid="{AA53643B-805F-4EA9-93F1-9BEC170C95B7}"/>
    <cellStyle name="Normal 5 2 2 4 9" xfId="9019" xr:uid="{21098837-378F-4A72-8447-7251560C75BC}"/>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5D658EB8-75F8-4FBD-8A0A-A05D0B6CFD53}"/>
    <cellStyle name="Normal 5 2 2 5 2 2 3" xfId="11579" xr:uid="{D17A81E7-8C5F-482D-AA91-002A9F78F139}"/>
    <cellStyle name="Normal 5 2 2 5 2 3" xfId="5210" xr:uid="{00000000-0005-0000-0000-000012180000}"/>
    <cellStyle name="Normal 5 2 2 5 2 3 2" xfId="13652" xr:uid="{1778072C-2569-4C98-A9C9-F064A8286280}"/>
    <cellStyle name="Normal 5 2 2 5 2 4" xfId="9434" xr:uid="{D1AC5445-0EEF-40A3-A7AD-49AC03EE233A}"/>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4C27F6FC-D215-483A-8358-6F02DE702046}"/>
    <cellStyle name="Normal 5 2 2 5 3 2 3" xfId="11992" xr:uid="{88842BD8-DFF7-4A4F-8D60-7B8C71C1E729}"/>
    <cellStyle name="Normal 5 2 2 5 3 3" xfId="5623" xr:uid="{00000000-0005-0000-0000-000016180000}"/>
    <cellStyle name="Normal 5 2 2 5 3 3 2" xfId="14065" xr:uid="{D860D00A-F14C-4FFB-8A00-AD6A515E8DF3}"/>
    <cellStyle name="Normal 5 2 2 5 3 4" xfId="9847" xr:uid="{6C48E223-B1DA-4392-BEDB-42ED91ED44CB}"/>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876ADB48-AF56-405B-ABAC-EC212102DAD2}"/>
    <cellStyle name="Normal 5 2 2 5 4 2 3" xfId="12405" xr:uid="{A9F44BE5-EACF-476D-AA77-743C882E9DA3}"/>
    <cellStyle name="Normal 5 2 2 5 4 3" xfId="6036" xr:uid="{00000000-0005-0000-0000-00001A180000}"/>
    <cellStyle name="Normal 5 2 2 5 4 3 2" xfId="14478" xr:uid="{E21B1A35-C847-4E9F-BB8F-9DED5747A69B}"/>
    <cellStyle name="Normal 5 2 2 5 4 4" xfId="10260" xr:uid="{12AD5661-6FBE-4E88-9FFB-9D7D4576BD9E}"/>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C8B66079-6755-49C1-BDE6-A474647E5E0B}"/>
    <cellStyle name="Normal 5 2 2 5 5 2 3" xfId="12818" xr:uid="{4959F1BE-B4B4-4637-8436-3F4BE38D05F4}"/>
    <cellStyle name="Normal 5 2 2 5 5 3" xfId="6449" xr:uid="{00000000-0005-0000-0000-00001E180000}"/>
    <cellStyle name="Normal 5 2 2 5 5 3 2" xfId="14891" xr:uid="{85B0C833-C711-4621-AB87-6CCC78C2DF30}"/>
    <cellStyle name="Normal 5 2 2 5 5 4" xfId="10673" xr:uid="{D374E843-60B8-41F6-88FF-960FAA5CED3C}"/>
    <cellStyle name="Normal 5 2 2 5 6" xfId="2578" xr:uid="{00000000-0005-0000-0000-00001F180000}"/>
    <cellStyle name="Normal 5 2 2 5 6 2" xfId="6862" xr:uid="{00000000-0005-0000-0000-000020180000}"/>
    <cellStyle name="Normal 5 2 2 5 6 2 2" xfId="15304" xr:uid="{04092194-2050-4608-AEFC-28BFC2D2CA1A}"/>
    <cellStyle name="Normal 5 2 2 5 6 3" xfId="11086" xr:uid="{A132302F-73EB-4D8F-9C69-FA49B3FB9C48}"/>
    <cellStyle name="Normal 5 2 2 5 7" xfId="4797" xr:uid="{00000000-0005-0000-0000-000021180000}"/>
    <cellStyle name="Normal 5 2 2 5 7 2" xfId="13239" xr:uid="{5BABD48F-995C-427B-A739-2DC459307A08}"/>
    <cellStyle name="Normal 5 2 2 5 8" xfId="9021" xr:uid="{D713E886-FD8A-4180-BE44-F449A5CB24CE}"/>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ECCF6059-4642-47D6-8B2A-2B6FAC8A6F9B}"/>
    <cellStyle name="Normal 5 2 2 6 2 3" xfId="11564" xr:uid="{83BC798B-3402-4001-AC7B-C917785DD6BA}"/>
    <cellStyle name="Normal 5 2 2 6 3" xfId="5195" xr:uid="{00000000-0005-0000-0000-000025180000}"/>
    <cellStyle name="Normal 5 2 2 6 3 2" xfId="13637" xr:uid="{4F80B620-F8DE-4C48-85CD-0B4029EB8697}"/>
    <cellStyle name="Normal 5 2 2 6 4" xfId="9419" xr:uid="{A1DEE7FB-DCA4-4E63-85D3-8D03A947B1D2}"/>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2E45F40F-20AB-4D95-B752-EEE4CC6E892D}"/>
    <cellStyle name="Normal 5 2 2 7 2 3" xfId="11977" xr:uid="{2F667AEE-846C-4E5A-BF39-FB798EB05C12}"/>
    <cellStyle name="Normal 5 2 2 7 3" xfId="5608" xr:uid="{00000000-0005-0000-0000-000029180000}"/>
    <cellStyle name="Normal 5 2 2 7 3 2" xfId="14050" xr:uid="{ADF470FD-C4F0-4847-9E94-9C25E0BA19BC}"/>
    <cellStyle name="Normal 5 2 2 7 4" xfId="9832" xr:uid="{49F8D62F-81E5-4CD5-B01D-C9C0D7E5EAA7}"/>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FD9FAB6F-A00E-4C89-88AD-21AA3D3C03A6}"/>
    <cellStyle name="Normal 5 2 2 8 2 3" xfId="12390" xr:uid="{63293C26-388D-4DCC-848B-3251846C9A00}"/>
    <cellStyle name="Normal 5 2 2 8 3" xfId="6021" xr:uid="{00000000-0005-0000-0000-00002D180000}"/>
    <cellStyle name="Normal 5 2 2 8 3 2" xfId="14463" xr:uid="{60D9F7F2-F5D5-4354-83A7-85766740E6BB}"/>
    <cellStyle name="Normal 5 2 2 8 4" xfId="10245" xr:uid="{B6A1C7DF-EF0E-49E3-B531-67FF89A6CBEF}"/>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AF4B9832-BC7B-498A-BEDE-A4284A645CC4}"/>
    <cellStyle name="Normal 5 2 2 9 2 3" xfId="12803" xr:uid="{4CD90692-03E5-40CC-9701-B2084339E08A}"/>
    <cellStyle name="Normal 5 2 2 9 3" xfId="6434" xr:uid="{00000000-0005-0000-0000-000031180000}"/>
    <cellStyle name="Normal 5 2 2 9 3 2" xfId="14876" xr:uid="{889C31A1-AB8F-4E3C-AE09-B86B7AEFEB71}"/>
    <cellStyle name="Normal 5 2 2 9 4" xfId="10658" xr:uid="{6DA06EFE-BD67-46B4-9877-C294336261B3}"/>
    <cellStyle name="Normal 5 2 3" xfId="424" xr:uid="{00000000-0005-0000-0000-000032180000}"/>
    <cellStyle name="Normal 5 2 3 10" xfId="4798" xr:uid="{00000000-0005-0000-0000-000033180000}"/>
    <cellStyle name="Normal 5 2 3 10 2" xfId="13240" xr:uid="{8C764D8A-7C18-4831-AD2D-B2506C4BA177}"/>
    <cellStyle name="Normal 5 2 3 11" xfId="9022" xr:uid="{ACAC2533-5E27-491C-8989-AD6514272C03}"/>
    <cellStyle name="Normal 5 2 3 2" xfId="425" xr:uid="{00000000-0005-0000-0000-000034180000}"/>
    <cellStyle name="Normal 5 2 3 2 10" xfId="9023" xr:uid="{5AFE4127-C26A-43AA-AE74-E0E2A287D86A}"/>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9E25754F-9C2F-442B-AC6C-2DF804B403FF}"/>
    <cellStyle name="Normal 5 2 3 2 2 2 2 2 3" xfId="11583" xr:uid="{846D8A34-43D3-4053-8737-0BE88DA0A663}"/>
    <cellStyle name="Normal 5 2 3 2 2 2 2 3" xfId="5214" xr:uid="{00000000-0005-0000-0000-00003A180000}"/>
    <cellStyle name="Normal 5 2 3 2 2 2 2 3 2" xfId="13656" xr:uid="{6FBE42F7-F74B-489F-BEC5-231A588E451D}"/>
    <cellStyle name="Normal 5 2 3 2 2 2 2 4" xfId="9438" xr:uid="{CB66DFFC-CB21-45DE-85EA-E6BE6409208A}"/>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3F975B01-5A15-4202-B15D-97F6C9DAD17C}"/>
    <cellStyle name="Normal 5 2 3 2 2 2 3 2 3" xfId="11996" xr:uid="{70968158-4268-47F5-A4C2-A72C04895BA9}"/>
    <cellStyle name="Normal 5 2 3 2 2 2 3 3" xfId="5627" xr:uid="{00000000-0005-0000-0000-00003E180000}"/>
    <cellStyle name="Normal 5 2 3 2 2 2 3 3 2" xfId="14069" xr:uid="{87CDBC51-F465-4021-B297-67A182A6C25C}"/>
    <cellStyle name="Normal 5 2 3 2 2 2 3 4" xfId="9851" xr:uid="{50089A49-CD5C-4600-8FF2-8D7BF5F840D7}"/>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F4ED2423-5D52-4854-8B93-2E90ACB6B5D6}"/>
    <cellStyle name="Normal 5 2 3 2 2 2 4 2 3" xfId="12409" xr:uid="{C773E61D-C675-42A3-8544-9E63E0AAAC93}"/>
    <cellStyle name="Normal 5 2 3 2 2 2 4 3" xfId="6040" xr:uid="{00000000-0005-0000-0000-000042180000}"/>
    <cellStyle name="Normal 5 2 3 2 2 2 4 3 2" xfId="14482" xr:uid="{2A252A4F-BD50-4D66-B8A0-04D2D0991338}"/>
    <cellStyle name="Normal 5 2 3 2 2 2 4 4" xfId="10264" xr:uid="{191BB148-D6D8-45AF-8AC8-9BEBCB0CF396}"/>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957FC455-4A75-452C-B595-65AE14A5B6A7}"/>
    <cellStyle name="Normal 5 2 3 2 2 2 5 2 3" xfId="12822" xr:uid="{1A438C8C-4B25-4933-8AAF-E53E3FCEABC5}"/>
    <cellStyle name="Normal 5 2 3 2 2 2 5 3" xfId="6453" xr:uid="{00000000-0005-0000-0000-000046180000}"/>
    <cellStyle name="Normal 5 2 3 2 2 2 5 3 2" xfId="14895" xr:uid="{A209CBA9-094D-48FC-8234-4132FCA91DCA}"/>
    <cellStyle name="Normal 5 2 3 2 2 2 5 4" xfId="10677" xr:uid="{BA854888-E8DF-4533-AD20-292DCCED5181}"/>
    <cellStyle name="Normal 5 2 3 2 2 2 6" xfId="2582" xr:uid="{00000000-0005-0000-0000-000047180000}"/>
    <cellStyle name="Normal 5 2 3 2 2 2 6 2" xfId="6866" xr:uid="{00000000-0005-0000-0000-000048180000}"/>
    <cellStyle name="Normal 5 2 3 2 2 2 6 2 2" xfId="15308" xr:uid="{A7703622-F4A9-4C35-B241-2FB77C192F06}"/>
    <cellStyle name="Normal 5 2 3 2 2 2 6 3" xfId="11090" xr:uid="{B5F3CA91-755E-46C4-B9E1-6C235DC5619F}"/>
    <cellStyle name="Normal 5 2 3 2 2 2 7" xfId="4801" xr:uid="{00000000-0005-0000-0000-000049180000}"/>
    <cellStyle name="Normal 5 2 3 2 2 2 7 2" xfId="13243" xr:uid="{E0CC7FF7-F1F3-47F6-A5CE-64559BE308E6}"/>
    <cellStyle name="Normal 5 2 3 2 2 2 8" xfId="9025" xr:uid="{511D3E40-3611-42B8-8AA8-CF714CE27366}"/>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0BCFE106-B224-4A42-BEDE-7EA8E5E28A4D}"/>
    <cellStyle name="Normal 5 2 3 2 2 3 2 3" xfId="11582" xr:uid="{2F998B5C-A78E-40B4-9BA6-FFB9D67F4CC8}"/>
    <cellStyle name="Normal 5 2 3 2 2 3 3" xfId="5213" xr:uid="{00000000-0005-0000-0000-00004D180000}"/>
    <cellStyle name="Normal 5 2 3 2 2 3 3 2" xfId="13655" xr:uid="{EE9B1386-6D66-433C-AAF7-4CB6223705ED}"/>
    <cellStyle name="Normal 5 2 3 2 2 3 4" xfId="9437" xr:uid="{F7B79731-E63E-47F9-9AC8-3D1CA378A31C}"/>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55E240F1-96C6-4628-8DEF-860FF018757D}"/>
    <cellStyle name="Normal 5 2 3 2 2 4 2 3" xfId="11995" xr:uid="{38B53CE0-A8F4-4258-8405-8051A4376639}"/>
    <cellStyle name="Normal 5 2 3 2 2 4 3" xfId="5626" xr:uid="{00000000-0005-0000-0000-000051180000}"/>
    <cellStyle name="Normal 5 2 3 2 2 4 3 2" xfId="14068" xr:uid="{B9843272-0C44-4A95-9892-F8212AD4ED63}"/>
    <cellStyle name="Normal 5 2 3 2 2 4 4" xfId="9850" xr:uid="{A62264B1-763A-4D98-A145-992E756363EC}"/>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313B757D-DE62-4AFC-9213-C1A6C3EFD7AA}"/>
    <cellStyle name="Normal 5 2 3 2 2 5 2 3" xfId="12408" xr:uid="{369DDA87-7810-41B3-894E-B814519352E9}"/>
    <cellStyle name="Normal 5 2 3 2 2 5 3" xfId="6039" xr:uid="{00000000-0005-0000-0000-000055180000}"/>
    <cellStyle name="Normal 5 2 3 2 2 5 3 2" xfId="14481" xr:uid="{E41FCE78-1E04-438E-957A-8FD5DEE146EA}"/>
    <cellStyle name="Normal 5 2 3 2 2 5 4" xfId="10263" xr:uid="{BF800104-A1F0-4058-8871-7137E23BFF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12DB0B39-67DC-4CDD-93B7-7F44C005053E}"/>
    <cellStyle name="Normal 5 2 3 2 2 6 2 3" xfId="12821" xr:uid="{4BA91828-B048-458C-9759-1418463B2E12}"/>
    <cellStyle name="Normal 5 2 3 2 2 6 3" xfId="6452" xr:uid="{00000000-0005-0000-0000-000059180000}"/>
    <cellStyle name="Normal 5 2 3 2 2 6 3 2" xfId="14894" xr:uid="{08F4B9F9-B28E-4063-97D1-1D442DD071B0}"/>
    <cellStyle name="Normal 5 2 3 2 2 6 4" xfId="10676" xr:uid="{131157D8-34C8-453A-98ED-31DF600E3B43}"/>
    <cellStyle name="Normal 5 2 3 2 2 7" xfId="2581" xr:uid="{00000000-0005-0000-0000-00005A180000}"/>
    <cellStyle name="Normal 5 2 3 2 2 7 2" xfId="6865" xr:uid="{00000000-0005-0000-0000-00005B180000}"/>
    <cellStyle name="Normal 5 2 3 2 2 7 2 2" xfId="15307" xr:uid="{C39EF017-C388-4CF0-9427-71E4EAF25102}"/>
    <cellStyle name="Normal 5 2 3 2 2 7 3" xfId="11089" xr:uid="{27B8F7CF-10DC-4C2E-ADDA-0E8DAF86A572}"/>
    <cellStyle name="Normal 5 2 3 2 2 8" xfId="4800" xr:uid="{00000000-0005-0000-0000-00005C180000}"/>
    <cellStyle name="Normal 5 2 3 2 2 8 2" xfId="13242" xr:uid="{65C26555-CBB0-4C9B-A78E-9E5D830715F0}"/>
    <cellStyle name="Normal 5 2 3 2 2 9" xfId="9024" xr:uid="{D41EA987-5302-40D7-A5B4-56D0CE53F178}"/>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457B9E89-58D4-409D-B60E-CB642F9FA905}"/>
    <cellStyle name="Normal 5 2 3 2 3 2 2 3" xfId="11584" xr:uid="{D9AB0070-79B1-4AD5-90E1-6EB4ADA03658}"/>
    <cellStyle name="Normal 5 2 3 2 3 2 3" xfId="5215" xr:uid="{00000000-0005-0000-0000-000061180000}"/>
    <cellStyle name="Normal 5 2 3 2 3 2 3 2" xfId="13657" xr:uid="{CBCE4A0B-69E9-48FF-B751-46D4C61B2351}"/>
    <cellStyle name="Normal 5 2 3 2 3 2 4" xfId="9439" xr:uid="{C7EE37B6-A5D4-4389-A3D2-884ED757ECCC}"/>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EA79AAB0-774B-4951-8E3A-32E74E56D49C}"/>
    <cellStyle name="Normal 5 2 3 2 3 3 2 3" xfId="11997" xr:uid="{58D01FF4-6B24-4BF8-BC1F-70CEEE01F93A}"/>
    <cellStyle name="Normal 5 2 3 2 3 3 3" xfId="5628" xr:uid="{00000000-0005-0000-0000-000065180000}"/>
    <cellStyle name="Normal 5 2 3 2 3 3 3 2" xfId="14070" xr:uid="{EE74BED7-FCD4-4ECE-A745-F863F370BCC8}"/>
    <cellStyle name="Normal 5 2 3 2 3 3 4" xfId="9852" xr:uid="{87BFB28B-8999-467D-A902-247677F96C6F}"/>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2CB69276-880F-4935-B757-F8816838772D}"/>
    <cellStyle name="Normal 5 2 3 2 3 4 2 3" xfId="12410" xr:uid="{4739E8C6-E004-46C9-A795-CC6A54C6177A}"/>
    <cellStyle name="Normal 5 2 3 2 3 4 3" xfId="6041" xr:uid="{00000000-0005-0000-0000-000069180000}"/>
    <cellStyle name="Normal 5 2 3 2 3 4 3 2" xfId="14483" xr:uid="{A7E5A6BF-153D-4A32-9809-290F3721D6A6}"/>
    <cellStyle name="Normal 5 2 3 2 3 4 4" xfId="10265" xr:uid="{8AFF55E2-85E4-4EFB-8B30-052520977EF5}"/>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6CF9A8B3-CC0B-4109-A1EA-F70F88C9B0C6}"/>
    <cellStyle name="Normal 5 2 3 2 3 5 2 3" xfId="12823" xr:uid="{AECCCC6E-CE6F-4A07-9918-28BFA5A0E663}"/>
    <cellStyle name="Normal 5 2 3 2 3 5 3" xfId="6454" xr:uid="{00000000-0005-0000-0000-00006D180000}"/>
    <cellStyle name="Normal 5 2 3 2 3 5 3 2" xfId="14896" xr:uid="{D89894FF-9A01-4877-8F5C-1E19A665C81F}"/>
    <cellStyle name="Normal 5 2 3 2 3 5 4" xfId="10678" xr:uid="{BC7713D6-ABC2-475E-A032-48158A268906}"/>
    <cellStyle name="Normal 5 2 3 2 3 6" xfId="2583" xr:uid="{00000000-0005-0000-0000-00006E180000}"/>
    <cellStyle name="Normal 5 2 3 2 3 6 2" xfId="6867" xr:uid="{00000000-0005-0000-0000-00006F180000}"/>
    <cellStyle name="Normal 5 2 3 2 3 6 2 2" xfId="15309" xr:uid="{3831360C-438B-4474-8EE9-663366BDE8CF}"/>
    <cellStyle name="Normal 5 2 3 2 3 6 3" xfId="11091" xr:uid="{448315DE-8F88-4649-95A4-B317F33F7085}"/>
    <cellStyle name="Normal 5 2 3 2 3 7" xfId="4802" xr:uid="{00000000-0005-0000-0000-000070180000}"/>
    <cellStyle name="Normal 5 2 3 2 3 7 2" xfId="13244" xr:uid="{2843E858-8568-4A0F-9D50-3A27701724C5}"/>
    <cellStyle name="Normal 5 2 3 2 3 8" xfId="9026" xr:uid="{7807BF27-04A4-42E4-ADD1-A9D81187E656}"/>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7DE17BD0-D77A-4C50-BC7C-76FC6A6AE797}"/>
    <cellStyle name="Normal 5 2 3 2 4 2 3" xfId="11581" xr:uid="{48DD4380-C8EC-4416-BD90-216529B19400}"/>
    <cellStyle name="Normal 5 2 3 2 4 3" xfId="5212" xr:uid="{00000000-0005-0000-0000-000074180000}"/>
    <cellStyle name="Normal 5 2 3 2 4 3 2" xfId="13654" xr:uid="{88ECD290-4405-4138-B685-464B3D33C366}"/>
    <cellStyle name="Normal 5 2 3 2 4 4" xfId="9436" xr:uid="{CA098662-2586-4570-B2FC-7D2CA64DEB06}"/>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11BF13A6-F6E5-4449-B35D-1DAAFAAAE2FD}"/>
    <cellStyle name="Normal 5 2 3 2 5 2 3" xfId="11994" xr:uid="{5A1BD883-5551-4D97-AEA8-195B3CDF0783}"/>
    <cellStyle name="Normal 5 2 3 2 5 3" xfId="5625" xr:uid="{00000000-0005-0000-0000-000078180000}"/>
    <cellStyle name="Normal 5 2 3 2 5 3 2" xfId="14067" xr:uid="{3D4B252E-BEA2-42D8-9DAE-56F357D922EC}"/>
    <cellStyle name="Normal 5 2 3 2 5 4" xfId="9849" xr:uid="{E7295DC8-C16A-4D5C-8428-74EBD7113D43}"/>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DEF87241-BD84-4E8B-9580-69C261140EF6}"/>
    <cellStyle name="Normal 5 2 3 2 6 2 3" xfId="12407" xr:uid="{7BB15949-F511-4BE5-9257-EC4CEB69125C}"/>
    <cellStyle name="Normal 5 2 3 2 6 3" xfId="6038" xr:uid="{00000000-0005-0000-0000-00007C180000}"/>
    <cellStyle name="Normal 5 2 3 2 6 3 2" xfId="14480" xr:uid="{E7ADA709-67B5-4C49-B4F8-78A2A69E0580}"/>
    <cellStyle name="Normal 5 2 3 2 6 4" xfId="10262" xr:uid="{00405865-A6F9-44AF-A40C-8CC09D633057}"/>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A4E08C1D-29DF-43A3-B181-0A7A7B70F46A}"/>
    <cellStyle name="Normal 5 2 3 2 7 2 3" xfId="12820" xr:uid="{B6A55C2A-7EC9-4031-AAB3-641A82203FDF}"/>
    <cellStyle name="Normal 5 2 3 2 7 3" xfId="6451" xr:uid="{00000000-0005-0000-0000-000080180000}"/>
    <cellStyle name="Normal 5 2 3 2 7 3 2" xfId="14893" xr:uid="{17CBB795-1572-4637-9D26-A57FC5E17552}"/>
    <cellStyle name="Normal 5 2 3 2 7 4" xfId="10675" xr:uid="{92FC41F6-4941-426B-88CF-7E77ECB36E0F}"/>
    <cellStyle name="Normal 5 2 3 2 8" xfId="2580" xr:uid="{00000000-0005-0000-0000-000081180000}"/>
    <cellStyle name="Normal 5 2 3 2 8 2" xfId="6864" xr:uid="{00000000-0005-0000-0000-000082180000}"/>
    <cellStyle name="Normal 5 2 3 2 8 2 2" xfId="15306" xr:uid="{1B82362D-45A3-417A-B345-DF12DDF32C66}"/>
    <cellStyle name="Normal 5 2 3 2 8 3" xfId="11088" xr:uid="{D4560500-78F5-4007-9355-3869A71B4427}"/>
    <cellStyle name="Normal 5 2 3 2 9" xfId="4799" xr:uid="{00000000-0005-0000-0000-000083180000}"/>
    <cellStyle name="Normal 5 2 3 2 9 2" xfId="13241" xr:uid="{030A95F9-BFC6-4F5C-97D7-84F38F9CFD39}"/>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79CD7247-6DF2-453D-BC49-8D0888B72E58}"/>
    <cellStyle name="Normal 5 2 3 3 2 2 2 3" xfId="11586" xr:uid="{7918E62E-45A3-4F8A-BA87-F7AB2DA5EA8A}"/>
    <cellStyle name="Normal 5 2 3 3 2 2 3" xfId="5217" xr:uid="{00000000-0005-0000-0000-000089180000}"/>
    <cellStyle name="Normal 5 2 3 3 2 2 3 2" xfId="13659" xr:uid="{0FB097DD-AC02-4359-AC68-69B7324D80BB}"/>
    <cellStyle name="Normal 5 2 3 3 2 2 4" xfId="9441" xr:uid="{B0CD842A-D77A-49EF-808D-248D9DE93616}"/>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7AEB9EE8-8000-49B2-8889-EE4A4245FBF7}"/>
    <cellStyle name="Normal 5 2 3 3 2 3 2 3" xfId="11999" xr:uid="{08533B06-A322-41E0-B878-063293AA571D}"/>
    <cellStyle name="Normal 5 2 3 3 2 3 3" xfId="5630" xr:uid="{00000000-0005-0000-0000-00008D180000}"/>
    <cellStyle name="Normal 5 2 3 3 2 3 3 2" xfId="14072" xr:uid="{D5A04ED2-3984-4741-A687-099CAEF0BE89}"/>
    <cellStyle name="Normal 5 2 3 3 2 3 4" xfId="9854" xr:uid="{CA888BEC-6058-43A8-AB15-25F70F6544EE}"/>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3B6893E6-39D8-43B1-96DC-AEFBB1BBFBEE}"/>
    <cellStyle name="Normal 5 2 3 3 2 4 2 3" xfId="12412" xr:uid="{D02AFF06-7440-4F6A-AA08-7C33F69DF9A1}"/>
    <cellStyle name="Normal 5 2 3 3 2 4 3" xfId="6043" xr:uid="{00000000-0005-0000-0000-000091180000}"/>
    <cellStyle name="Normal 5 2 3 3 2 4 3 2" xfId="14485" xr:uid="{582E69AC-64C1-406B-B127-3EBEF3FCA268}"/>
    <cellStyle name="Normal 5 2 3 3 2 4 4" xfId="10267" xr:uid="{2C86AE63-4441-49BA-84A4-0A7238E35942}"/>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25231C8F-376A-4B43-A664-19567A470609}"/>
    <cellStyle name="Normal 5 2 3 3 2 5 2 3" xfId="12825" xr:uid="{F87DD6CA-90EA-4749-BDFB-9F9B50F8B1AD}"/>
    <cellStyle name="Normal 5 2 3 3 2 5 3" xfId="6456" xr:uid="{00000000-0005-0000-0000-000095180000}"/>
    <cellStyle name="Normal 5 2 3 3 2 5 3 2" xfId="14898" xr:uid="{42CEBF96-75ED-4644-9D3D-619E85B2374F}"/>
    <cellStyle name="Normal 5 2 3 3 2 5 4" xfId="10680" xr:uid="{A8E92A65-C5A1-4C38-A361-468347A26809}"/>
    <cellStyle name="Normal 5 2 3 3 2 6" xfId="2585" xr:uid="{00000000-0005-0000-0000-000096180000}"/>
    <cellStyle name="Normal 5 2 3 3 2 6 2" xfId="6869" xr:uid="{00000000-0005-0000-0000-000097180000}"/>
    <cellStyle name="Normal 5 2 3 3 2 6 2 2" xfId="15311" xr:uid="{C5E0EA49-D0F3-4C93-9D89-5E209407DB4D}"/>
    <cellStyle name="Normal 5 2 3 3 2 6 3" xfId="11093" xr:uid="{1BCFD5FE-B980-40DE-A8B2-B294F69D2E04}"/>
    <cellStyle name="Normal 5 2 3 3 2 7" xfId="4804" xr:uid="{00000000-0005-0000-0000-000098180000}"/>
    <cellStyle name="Normal 5 2 3 3 2 7 2" xfId="13246" xr:uid="{0E48D088-A080-4927-B0D8-8E493C201784}"/>
    <cellStyle name="Normal 5 2 3 3 2 8" xfId="9028" xr:uid="{BB0F6C62-CD19-4695-A927-AE252D73276F}"/>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5B9442EF-1378-4381-8602-65FEE8E336CE}"/>
    <cellStyle name="Normal 5 2 3 3 3 2 3" xfId="11585" xr:uid="{D065CFFD-98D9-4B5E-8275-10026FA54A10}"/>
    <cellStyle name="Normal 5 2 3 3 3 3" xfId="5216" xr:uid="{00000000-0005-0000-0000-00009C180000}"/>
    <cellStyle name="Normal 5 2 3 3 3 3 2" xfId="13658" xr:uid="{BFC5BEB7-F173-42E2-9B02-A24C40CF77BA}"/>
    <cellStyle name="Normal 5 2 3 3 3 4" xfId="9440" xr:uid="{5358D501-C417-4EC9-BE10-F5DFF77AB8AD}"/>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8D042FF6-F1D1-4ADB-BA83-1B4B4A851808}"/>
    <cellStyle name="Normal 5 2 3 3 4 2 3" xfId="11998" xr:uid="{12B113E8-5017-42C5-91A5-1AFB8C913647}"/>
    <cellStyle name="Normal 5 2 3 3 4 3" xfId="5629" xr:uid="{00000000-0005-0000-0000-0000A0180000}"/>
    <cellStyle name="Normal 5 2 3 3 4 3 2" xfId="14071" xr:uid="{6122EDB3-F493-43B2-BA17-CAC607193331}"/>
    <cellStyle name="Normal 5 2 3 3 4 4" xfId="9853" xr:uid="{2B020684-1147-4C65-8094-F908083B1D18}"/>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1083DAE1-5F31-4DF1-AEAE-E7EE3325CB12}"/>
    <cellStyle name="Normal 5 2 3 3 5 2 3" xfId="12411" xr:uid="{4170389D-00B2-4D7B-B3E4-9019AD5A6DE4}"/>
    <cellStyle name="Normal 5 2 3 3 5 3" xfId="6042" xr:uid="{00000000-0005-0000-0000-0000A4180000}"/>
    <cellStyle name="Normal 5 2 3 3 5 3 2" xfId="14484" xr:uid="{5A7ACDFA-8666-42F7-A33C-65AABD8A006E}"/>
    <cellStyle name="Normal 5 2 3 3 5 4" xfId="10266" xr:uid="{69E2AA4D-C667-4F44-90A2-2510BF0723E3}"/>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B080D755-615C-4169-8B22-9897A782383F}"/>
    <cellStyle name="Normal 5 2 3 3 6 2 3" xfId="12824" xr:uid="{60DE8A8D-A368-469B-96F6-B609B6B65A6B}"/>
    <cellStyle name="Normal 5 2 3 3 6 3" xfId="6455" xr:uid="{00000000-0005-0000-0000-0000A8180000}"/>
    <cellStyle name="Normal 5 2 3 3 6 3 2" xfId="14897" xr:uid="{0A745373-07D9-4DF7-9338-B6C8A031F4B6}"/>
    <cellStyle name="Normal 5 2 3 3 6 4" xfId="10679" xr:uid="{4B9C572C-96C8-4FD8-9358-E89136A18E61}"/>
    <cellStyle name="Normal 5 2 3 3 7" xfId="2584" xr:uid="{00000000-0005-0000-0000-0000A9180000}"/>
    <cellStyle name="Normal 5 2 3 3 7 2" xfId="6868" xr:uid="{00000000-0005-0000-0000-0000AA180000}"/>
    <cellStyle name="Normal 5 2 3 3 7 2 2" xfId="15310" xr:uid="{1A29DF6B-D934-43AF-9773-254B7BE0DDE2}"/>
    <cellStyle name="Normal 5 2 3 3 7 3" xfId="11092" xr:uid="{F2A56AAF-5595-48CF-ADFC-829958681C84}"/>
    <cellStyle name="Normal 5 2 3 3 8" xfId="4803" xr:uid="{00000000-0005-0000-0000-0000AB180000}"/>
    <cellStyle name="Normal 5 2 3 3 8 2" xfId="13245" xr:uid="{32D63C7B-3568-4215-83BD-D26E8716967B}"/>
    <cellStyle name="Normal 5 2 3 3 9" xfId="9027" xr:uid="{A7C949C3-B4FE-4D88-904E-3B5E46E5985A}"/>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AE38750C-1ACC-41F1-A368-C3E7D38DA586}"/>
    <cellStyle name="Normal 5 2 3 4 2 2 3" xfId="11587" xr:uid="{D85C339D-C3CC-42B5-81BC-A836EC62017E}"/>
    <cellStyle name="Normal 5 2 3 4 2 3" xfId="5218" xr:uid="{00000000-0005-0000-0000-0000B0180000}"/>
    <cellStyle name="Normal 5 2 3 4 2 3 2" xfId="13660" xr:uid="{63134145-35DD-45EC-B6B6-CE8D516B0F2B}"/>
    <cellStyle name="Normal 5 2 3 4 2 4" xfId="9442" xr:uid="{1D047593-2C4D-450E-9882-291668C7D44D}"/>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E52FFCFC-F30D-45C4-872B-ED09D5EFE85E}"/>
    <cellStyle name="Normal 5 2 3 4 3 2 3" xfId="12000" xr:uid="{2044DB80-84C0-4F31-A995-160384929881}"/>
    <cellStyle name="Normal 5 2 3 4 3 3" xfId="5631" xr:uid="{00000000-0005-0000-0000-0000B4180000}"/>
    <cellStyle name="Normal 5 2 3 4 3 3 2" xfId="14073" xr:uid="{C03CEE28-92B5-4E67-9CD1-AB8559AFC9B3}"/>
    <cellStyle name="Normal 5 2 3 4 3 4" xfId="9855" xr:uid="{445EF805-376F-4621-843E-A4BCF4EA414A}"/>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9E440838-28EF-474F-B6BB-EFD20155595E}"/>
    <cellStyle name="Normal 5 2 3 4 4 2 3" xfId="12413" xr:uid="{FBD8A08E-828A-465C-86B8-EEB76D4F4E58}"/>
    <cellStyle name="Normal 5 2 3 4 4 3" xfId="6044" xr:uid="{00000000-0005-0000-0000-0000B8180000}"/>
    <cellStyle name="Normal 5 2 3 4 4 3 2" xfId="14486" xr:uid="{9A12DCE4-1553-4584-8FF1-8DB77A2E1D2B}"/>
    <cellStyle name="Normal 5 2 3 4 4 4" xfId="10268" xr:uid="{35317B22-63DE-4ED2-B237-E512D3CDFABF}"/>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F6A5544B-179A-4AFC-B2A7-1A673543825D}"/>
    <cellStyle name="Normal 5 2 3 4 5 2 3" xfId="12826" xr:uid="{E2241467-4C74-482A-9753-F11754AB3988}"/>
    <cellStyle name="Normal 5 2 3 4 5 3" xfId="6457" xr:uid="{00000000-0005-0000-0000-0000BC180000}"/>
    <cellStyle name="Normal 5 2 3 4 5 3 2" xfId="14899" xr:uid="{8FE9F543-8713-4AAC-8299-4910EF137E12}"/>
    <cellStyle name="Normal 5 2 3 4 5 4" xfId="10681" xr:uid="{839E2FFD-F66E-476D-9A47-2EE1F02C5518}"/>
    <cellStyle name="Normal 5 2 3 4 6" xfId="2586" xr:uid="{00000000-0005-0000-0000-0000BD180000}"/>
    <cellStyle name="Normal 5 2 3 4 6 2" xfId="6870" xr:uid="{00000000-0005-0000-0000-0000BE180000}"/>
    <cellStyle name="Normal 5 2 3 4 6 2 2" xfId="15312" xr:uid="{A80307C7-BD5B-472B-ABA8-F261387209FB}"/>
    <cellStyle name="Normal 5 2 3 4 6 3" xfId="11094" xr:uid="{15261DF3-E1AC-4FEE-B645-074EC0F22229}"/>
    <cellStyle name="Normal 5 2 3 4 7" xfId="4805" xr:uid="{00000000-0005-0000-0000-0000BF180000}"/>
    <cellStyle name="Normal 5 2 3 4 7 2" xfId="13247" xr:uid="{46D0DFCA-6F61-4DCC-A86D-1C5A4180B6AB}"/>
    <cellStyle name="Normal 5 2 3 4 8" xfId="9029" xr:uid="{EF836B44-BCB7-40AF-A0B0-D8DA9834645E}"/>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2006B4D6-1B80-4258-B3BF-DA41FFEA66EA}"/>
    <cellStyle name="Normal 5 2 3 5 2 3" xfId="11580" xr:uid="{46F4D366-D5D9-45F8-8988-570D5363F7CD}"/>
    <cellStyle name="Normal 5 2 3 5 3" xfId="5211" xr:uid="{00000000-0005-0000-0000-0000C3180000}"/>
    <cellStyle name="Normal 5 2 3 5 3 2" xfId="13653" xr:uid="{B166CA9A-1E09-48FF-A42C-348CC770B8FF}"/>
    <cellStyle name="Normal 5 2 3 5 4" xfId="9435" xr:uid="{AF373761-18FB-4570-B0FC-C04F19B0EE52}"/>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17D121D5-3B3B-427C-8CEA-DED556D105C5}"/>
    <cellStyle name="Normal 5 2 3 6 2 3" xfId="11993" xr:uid="{223BE0D9-07E0-4055-8CE0-AD12E90C8F99}"/>
    <cellStyle name="Normal 5 2 3 6 3" xfId="5624" xr:uid="{00000000-0005-0000-0000-0000C7180000}"/>
    <cellStyle name="Normal 5 2 3 6 3 2" xfId="14066" xr:uid="{7A4AE544-02BB-45F3-BEBB-5F1608FBD4CB}"/>
    <cellStyle name="Normal 5 2 3 6 4" xfId="9848" xr:uid="{86297051-A057-4651-A0D3-B2F4610D2D51}"/>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F292CBEC-ED1E-4083-9148-A83C566F8FEE}"/>
    <cellStyle name="Normal 5 2 3 7 2 3" xfId="12406" xr:uid="{816D664A-6725-4503-ACE3-0FAFD9AF6BCC}"/>
    <cellStyle name="Normal 5 2 3 7 3" xfId="6037" xr:uid="{00000000-0005-0000-0000-0000CB180000}"/>
    <cellStyle name="Normal 5 2 3 7 3 2" xfId="14479" xr:uid="{80F9AFC2-D1F3-49BE-979F-EB0418B01D78}"/>
    <cellStyle name="Normal 5 2 3 7 4" xfId="10261" xr:uid="{7A8B86BA-EE81-48AF-8891-9D3D9F0E611B}"/>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4BBB3A91-D940-48DA-9CDB-5181E4FBCBF8}"/>
    <cellStyle name="Normal 5 2 3 8 2 3" xfId="12819" xr:uid="{0E362D7E-9C1A-4A79-BEB4-A3D9271CCAAF}"/>
    <cellStyle name="Normal 5 2 3 8 3" xfId="6450" xr:uid="{00000000-0005-0000-0000-0000CF180000}"/>
    <cellStyle name="Normal 5 2 3 8 3 2" xfId="14892" xr:uid="{6A625514-92C4-4A12-AAD4-E43532159DDC}"/>
    <cellStyle name="Normal 5 2 3 8 4" xfId="10674" xr:uid="{CE1CACBD-EECE-4A4E-950C-235C0E169DD9}"/>
    <cellStyle name="Normal 5 2 3 9" xfId="2579" xr:uid="{00000000-0005-0000-0000-0000D0180000}"/>
    <cellStyle name="Normal 5 2 3 9 2" xfId="6863" xr:uid="{00000000-0005-0000-0000-0000D1180000}"/>
    <cellStyle name="Normal 5 2 3 9 2 2" xfId="15305" xr:uid="{C58251C8-1A28-41BE-B933-EACD127C53C3}"/>
    <cellStyle name="Normal 5 2 3 9 3" xfId="11087" xr:uid="{82BAF0A0-9058-419E-8321-800753EB57B0}"/>
    <cellStyle name="Normal 5 2 4" xfId="432" xr:uid="{00000000-0005-0000-0000-0000D2180000}"/>
    <cellStyle name="Normal 5 2 4 10" xfId="9030" xr:uid="{F8871317-EEF9-4FD2-AFAD-1CEB49408BF7}"/>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F77179B5-731D-4E8C-9C24-16FDDAB623C8}"/>
    <cellStyle name="Normal 5 2 4 2 2 2 2 3" xfId="11590" xr:uid="{2A760850-B28E-4BB6-A739-71A1215B618D}"/>
    <cellStyle name="Normal 5 2 4 2 2 2 3" xfId="5221" xr:uid="{00000000-0005-0000-0000-0000D8180000}"/>
    <cellStyle name="Normal 5 2 4 2 2 2 3 2" xfId="13663" xr:uid="{9ED36183-FDA2-4047-B6C0-BD18BA030DB9}"/>
    <cellStyle name="Normal 5 2 4 2 2 2 4" xfId="9445" xr:uid="{BCA2D153-1D76-43F2-87A7-CA73D046E916}"/>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615961A6-789B-44A1-B092-0A84A7C95EB1}"/>
    <cellStyle name="Normal 5 2 4 2 2 3 2 3" xfId="12003" xr:uid="{E432F5C4-9D1E-4291-BDA1-8CA12BFADBD0}"/>
    <cellStyle name="Normal 5 2 4 2 2 3 3" xfId="5634" xr:uid="{00000000-0005-0000-0000-0000DC180000}"/>
    <cellStyle name="Normal 5 2 4 2 2 3 3 2" xfId="14076" xr:uid="{4C2EABED-386F-4BB6-AEB9-F8FD80E41CFD}"/>
    <cellStyle name="Normal 5 2 4 2 2 3 4" xfId="9858" xr:uid="{D1D8AE79-F0FE-413A-9D7D-78BC6150940D}"/>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CA2EFB06-FDEB-4300-8818-E396A6C19A75}"/>
    <cellStyle name="Normal 5 2 4 2 2 4 2 3" xfId="12416" xr:uid="{4D53175F-BEA0-465B-AE50-12230A129521}"/>
    <cellStyle name="Normal 5 2 4 2 2 4 3" xfId="6047" xr:uid="{00000000-0005-0000-0000-0000E0180000}"/>
    <cellStyle name="Normal 5 2 4 2 2 4 3 2" xfId="14489" xr:uid="{7666B3BA-3034-4504-9E17-6E27EE322093}"/>
    <cellStyle name="Normal 5 2 4 2 2 4 4" xfId="10271" xr:uid="{C7FE6C6D-45BF-4E4B-BC2B-065D9068D71C}"/>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83F218A4-A96B-4802-84E2-B827B7CA5303}"/>
    <cellStyle name="Normal 5 2 4 2 2 5 2 3" xfId="12829" xr:uid="{28C13EC6-466E-4EE9-9057-5C4893603656}"/>
    <cellStyle name="Normal 5 2 4 2 2 5 3" xfId="6460" xr:uid="{00000000-0005-0000-0000-0000E4180000}"/>
    <cellStyle name="Normal 5 2 4 2 2 5 3 2" xfId="14902" xr:uid="{286E60BC-3602-4C32-A931-16E79A11CFFA}"/>
    <cellStyle name="Normal 5 2 4 2 2 5 4" xfId="10684" xr:uid="{769EBDF0-F7DB-4DD9-B6D1-192D92EEECDF}"/>
    <cellStyle name="Normal 5 2 4 2 2 6" xfId="2589" xr:uid="{00000000-0005-0000-0000-0000E5180000}"/>
    <cellStyle name="Normal 5 2 4 2 2 6 2" xfId="6873" xr:uid="{00000000-0005-0000-0000-0000E6180000}"/>
    <cellStyle name="Normal 5 2 4 2 2 6 2 2" xfId="15315" xr:uid="{D7421F3C-EC88-46D0-AE2F-FD84305B1304}"/>
    <cellStyle name="Normal 5 2 4 2 2 6 3" xfId="11097" xr:uid="{8DDAA38E-897D-4346-94C4-E38DEB960B89}"/>
    <cellStyle name="Normal 5 2 4 2 2 7" xfId="4808" xr:uid="{00000000-0005-0000-0000-0000E7180000}"/>
    <cellStyle name="Normal 5 2 4 2 2 7 2" xfId="13250" xr:uid="{73F20DE4-2194-47DA-8F9D-6BFD98350F7C}"/>
    <cellStyle name="Normal 5 2 4 2 2 8" xfId="9032" xr:uid="{FE15F2D5-25DB-4E15-9A23-11527E858B79}"/>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11F4B6A8-C97F-4D5B-B5DC-66AA766CE954}"/>
    <cellStyle name="Normal 5 2 4 2 3 2 3" xfId="11589" xr:uid="{87A16569-76D6-4333-9D54-CD2D2EA1D676}"/>
    <cellStyle name="Normal 5 2 4 2 3 3" xfId="5220" xr:uid="{00000000-0005-0000-0000-0000EB180000}"/>
    <cellStyle name="Normal 5 2 4 2 3 3 2" xfId="13662" xr:uid="{5D966A0B-2FD5-4F47-B6DD-D8C95027A92C}"/>
    <cellStyle name="Normal 5 2 4 2 3 4" xfId="9444" xr:uid="{9C5F610E-4563-4F61-9066-4ED10640DB53}"/>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24061B3B-E02D-4DF3-A9A2-52AF6D865CC6}"/>
    <cellStyle name="Normal 5 2 4 2 4 2 3" xfId="12002" xr:uid="{51675A21-DD9C-40A5-ABBA-1014CF5BCDD2}"/>
    <cellStyle name="Normal 5 2 4 2 4 3" xfId="5633" xr:uid="{00000000-0005-0000-0000-0000EF180000}"/>
    <cellStyle name="Normal 5 2 4 2 4 3 2" xfId="14075" xr:uid="{814F0142-EB8A-4EF4-94D4-D3D8269F4927}"/>
    <cellStyle name="Normal 5 2 4 2 4 4" xfId="9857" xr:uid="{1F42FEF1-AE35-4340-8CC3-94B5043E85B6}"/>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2746FA86-4B71-4BFC-AC3C-DB2616BC497A}"/>
    <cellStyle name="Normal 5 2 4 2 5 2 3" xfId="12415" xr:uid="{5AB3E8B7-549C-4B95-880E-9E72F30071A5}"/>
    <cellStyle name="Normal 5 2 4 2 5 3" xfId="6046" xr:uid="{00000000-0005-0000-0000-0000F3180000}"/>
    <cellStyle name="Normal 5 2 4 2 5 3 2" xfId="14488" xr:uid="{90865E9C-5F1B-4C29-8D53-E7F2F641D383}"/>
    <cellStyle name="Normal 5 2 4 2 5 4" xfId="10270" xr:uid="{0A5FB646-FF68-4E22-8B1F-C7A7D00CAB7D}"/>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C9E95F75-91B5-4AF9-8BC4-3EE13F9895F9}"/>
    <cellStyle name="Normal 5 2 4 2 6 2 3" xfId="12828" xr:uid="{BE5BD0EE-2C8F-4E39-86FA-0EF117295834}"/>
    <cellStyle name="Normal 5 2 4 2 6 3" xfId="6459" xr:uid="{00000000-0005-0000-0000-0000F7180000}"/>
    <cellStyle name="Normal 5 2 4 2 6 3 2" xfId="14901" xr:uid="{A3AD75E4-18CE-4470-8E45-E1562C86A1B1}"/>
    <cellStyle name="Normal 5 2 4 2 6 4" xfId="10683" xr:uid="{95D45EBC-E1AC-4C2D-9247-76FC353FD734}"/>
    <cellStyle name="Normal 5 2 4 2 7" xfId="2588" xr:uid="{00000000-0005-0000-0000-0000F8180000}"/>
    <cellStyle name="Normal 5 2 4 2 7 2" xfId="6872" xr:uid="{00000000-0005-0000-0000-0000F9180000}"/>
    <cellStyle name="Normal 5 2 4 2 7 2 2" xfId="15314" xr:uid="{59ED942F-EFF2-4707-9215-DFE4579D5EC9}"/>
    <cellStyle name="Normal 5 2 4 2 7 3" xfId="11096" xr:uid="{B3F100E5-5336-478B-A1D9-1786DBC708D0}"/>
    <cellStyle name="Normal 5 2 4 2 8" xfId="4807" xr:uid="{00000000-0005-0000-0000-0000FA180000}"/>
    <cellStyle name="Normal 5 2 4 2 8 2" xfId="13249" xr:uid="{044AF792-8194-438B-A7B2-7CA0539B2779}"/>
    <cellStyle name="Normal 5 2 4 2 9" xfId="9031" xr:uid="{2E6487F3-1CD2-4C49-9FD6-46A5C520FE2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FF38C2B4-8BB5-4CDD-8BD7-BCD21D2790F8}"/>
    <cellStyle name="Normal 5 2 4 3 2 2 3" xfId="11591" xr:uid="{5A21A0E8-ADB9-4945-8BDE-9B127277DBD1}"/>
    <cellStyle name="Normal 5 2 4 3 2 3" xfId="5222" xr:uid="{00000000-0005-0000-0000-0000FF180000}"/>
    <cellStyle name="Normal 5 2 4 3 2 3 2" xfId="13664" xr:uid="{CEC9D07D-214C-4C27-BD38-C7423F88638B}"/>
    <cellStyle name="Normal 5 2 4 3 2 4" xfId="9446" xr:uid="{82710BFA-0CC3-4A8C-9D6F-C02CF664F7B2}"/>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337336F9-057F-42E1-BAE3-0C74ECC91C71}"/>
    <cellStyle name="Normal 5 2 4 3 3 2 3" xfId="12004" xr:uid="{57C235F5-6B15-4605-BDD7-7F5634DF54A6}"/>
    <cellStyle name="Normal 5 2 4 3 3 3" xfId="5635" xr:uid="{00000000-0005-0000-0000-000003190000}"/>
    <cellStyle name="Normal 5 2 4 3 3 3 2" xfId="14077" xr:uid="{07A30074-2BB0-450B-BBE6-883C2B2C9C0A}"/>
    <cellStyle name="Normal 5 2 4 3 3 4" xfId="9859" xr:uid="{D144904C-74D5-4810-8D0B-6E7FEA52C18B}"/>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67131F42-B7B1-40F0-B949-83935E086AA9}"/>
    <cellStyle name="Normal 5 2 4 3 4 2 3" xfId="12417" xr:uid="{12AAAA00-9059-452A-B9A0-B361F4A10B50}"/>
    <cellStyle name="Normal 5 2 4 3 4 3" xfId="6048" xr:uid="{00000000-0005-0000-0000-000007190000}"/>
    <cellStyle name="Normal 5 2 4 3 4 3 2" xfId="14490" xr:uid="{4539CA5B-9949-4832-93CA-D8258963D8BA}"/>
    <cellStyle name="Normal 5 2 4 3 4 4" xfId="10272" xr:uid="{CB21E966-4398-4D3C-9DBC-871DCA3389E4}"/>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C77CAF9A-85DE-4898-A80D-F53349D50990}"/>
    <cellStyle name="Normal 5 2 4 3 5 2 3" xfId="12830" xr:uid="{671CF13F-A197-4F30-8EF0-B250D74EC276}"/>
    <cellStyle name="Normal 5 2 4 3 5 3" xfId="6461" xr:uid="{00000000-0005-0000-0000-00000B190000}"/>
    <cellStyle name="Normal 5 2 4 3 5 3 2" xfId="14903" xr:uid="{AB16962A-38A0-4DE7-960A-BFB339146F9C}"/>
    <cellStyle name="Normal 5 2 4 3 5 4" xfId="10685" xr:uid="{72742C82-E5A3-459F-8725-19B8280C9245}"/>
    <cellStyle name="Normal 5 2 4 3 6" xfId="2590" xr:uid="{00000000-0005-0000-0000-00000C190000}"/>
    <cellStyle name="Normal 5 2 4 3 6 2" xfId="6874" xr:uid="{00000000-0005-0000-0000-00000D190000}"/>
    <cellStyle name="Normal 5 2 4 3 6 2 2" xfId="15316" xr:uid="{E4E45236-A99D-459C-8445-23B5DE11C6B8}"/>
    <cellStyle name="Normal 5 2 4 3 6 3" xfId="11098" xr:uid="{2ADCBE57-4F24-405E-AF79-C3C2E1797D04}"/>
    <cellStyle name="Normal 5 2 4 3 7" xfId="4809" xr:uid="{00000000-0005-0000-0000-00000E190000}"/>
    <cellStyle name="Normal 5 2 4 3 7 2" xfId="13251" xr:uid="{5FAC6BB5-4413-41CA-A584-BD66DE9BE36A}"/>
    <cellStyle name="Normal 5 2 4 3 8" xfId="9033" xr:uid="{352B19AB-0F16-4E6B-AED5-E81FA91CDADB}"/>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BC94C933-3A68-400B-8B3C-10477B04E9FB}"/>
    <cellStyle name="Normal 5 2 4 4 2 3" xfId="11588" xr:uid="{41260775-CE0C-405B-A11E-D14CBE3B2F13}"/>
    <cellStyle name="Normal 5 2 4 4 3" xfId="5219" xr:uid="{00000000-0005-0000-0000-000012190000}"/>
    <cellStyle name="Normal 5 2 4 4 3 2" xfId="13661" xr:uid="{41C74E5F-B607-49C7-AB7D-E382F37456E7}"/>
    <cellStyle name="Normal 5 2 4 4 4" xfId="9443" xr:uid="{2CF072B4-2F79-40A0-95B3-28EC99D04712}"/>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3CE1983A-F6BE-4A39-B791-A0CE2A345080}"/>
    <cellStyle name="Normal 5 2 4 5 2 3" xfId="12001" xr:uid="{ADE3F394-6ECC-4D51-BEC8-78439B9AFF4C}"/>
    <cellStyle name="Normal 5 2 4 5 3" xfId="5632" xr:uid="{00000000-0005-0000-0000-000016190000}"/>
    <cellStyle name="Normal 5 2 4 5 3 2" xfId="14074" xr:uid="{5E54ADA7-8FBA-48C8-A751-01B566BC3E26}"/>
    <cellStyle name="Normal 5 2 4 5 4" xfId="9856" xr:uid="{E3BFBBDD-2BB9-4290-A712-066363407A6E}"/>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85FD5B88-B5CC-4F94-A2F1-63A16B230B9E}"/>
    <cellStyle name="Normal 5 2 4 6 2 3" xfId="12414" xr:uid="{4BF5F47D-F3B0-450B-9043-5341EEDA084F}"/>
    <cellStyle name="Normal 5 2 4 6 3" xfId="6045" xr:uid="{00000000-0005-0000-0000-00001A190000}"/>
    <cellStyle name="Normal 5 2 4 6 3 2" xfId="14487" xr:uid="{A8808FEF-A89A-4C9D-8635-9BFA11D1519F}"/>
    <cellStyle name="Normal 5 2 4 6 4" xfId="10269" xr:uid="{AA61B47B-B775-4770-8DF8-38F72384A8CA}"/>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99A119CC-A422-413E-ACA9-6D077D386340}"/>
    <cellStyle name="Normal 5 2 4 7 2 3" xfId="12827" xr:uid="{A11B0D8E-BA15-4375-98F7-C2A320B7E5C6}"/>
    <cellStyle name="Normal 5 2 4 7 3" xfId="6458" xr:uid="{00000000-0005-0000-0000-00001E190000}"/>
    <cellStyle name="Normal 5 2 4 7 3 2" xfId="14900" xr:uid="{2946D22F-617C-4727-BFF5-91E7ECB25178}"/>
    <cellStyle name="Normal 5 2 4 7 4" xfId="10682" xr:uid="{66F3E18C-5D66-4F5A-B9A7-B744A644F511}"/>
    <cellStyle name="Normal 5 2 4 8" xfId="2587" xr:uid="{00000000-0005-0000-0000-00001F190000}"/>
    <cellStyle name="Normal 5 2 4 8 2" xfId="6871" xr:uid="{00000000-0005-0000-0000-000020190000}"/>
    <cellStyle name="Normal 5 2 4 8 2 2" xfId="15313" xr:uid="{75ADCAF2-BA71-4222-9599-8EB44E042D90}"/>
    <cellStyle name="Normal 5 2 4 8 3" xfId="11095" xr:uid="{9E04DC8C-DCF7-4540-91E8-B0B0D085B73A}"/>
    <cellStyle name="Normal 5 2 4 9" xfId="4806" xr:uid="{00000000-0005-0000-0000-000021190000}"/>
    <cellStyle name="Normal 5 2 4 9 2" xfId="13248" xr:uid="{47AC75EF-3A09-4114-AF84-F30469BA6BC4}"/>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C5C4E428-4F41-4540-A825-0C56586CF207}"/>
    <cellStyle name="Normal 5 2 5 2 2 2 3" xfId="11593" xr:uid="{76F8FBDB-0678-4BD6-9E9A-E4E55974AF76}"/>
    <cellStyle name="Normal 5 2 5 2 2 3" xfId="5224" xr:uid="{00000000-0005-0000-0000-000027190000}"/>
    <cellStyle name="Normal 5 2 5 2 2 3 2" xfId="13666" xr:uid="{478DAAD6-483D-4ED5-9EE4-184C66BF8867}"/>
    <cellStyle name="Normal 5 2 5 2 2 4" xfId="9448" xr:uid="{5812DE68-5718-4407-8B99-F26E298FD31D}"/>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A5305412-0D82-4232-8554-C719DBCB3147}"/>
    <cellStyle name="Normal 5 2 5 2 3 2 3" xfId="12006" xr:uid="{ADDB7EBC-0DD2-40DA-8E0B-B29BAB3399F1}"/>
    <cellStyle name="Normal 5 2 5 2 3 3" xfId="5637" xr:uid="{00000000-0005-0000-0000-00002B190000}"/>
    <cellStyle name="Normal 5 2 5 2 3 3 2" xfId="14079" xr:uid="{26AF4145-5082-45E0-ACA4-E36237D1E3DF}"/>
    <cellStyle name="Normal 5 2 5 2 3 4" xfId="9861" xr:uid="{CFD47499-4200-47C0-81EA-0DF6496B3F49}"/>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C4D24E59-37CD-4819-87F5-1926CFB7C082}"/>
    <cellStyle name="Normal 5 2 5 2 4 2 3" xfId="12419" xr:uid="{5BC0641F-0BEF-4C2E-87C3-E7DC47149D05}"/>
    <cellStyle name="Normal 5 2 5 2 4 3" xfId="6050" xr:uid="{00000000-0005-0000-0000-00002F190000}"/>
    <cellStyle name="Normal 5 2 5 2 4 3 2" xfId="14492" xr:uid="{E707F355-BC40-4C4F-9008-DDD172947E3C}"/>
    <cellStyle name="Normal 5 2 5 2 4 4" xfId="10274" xr:uid="{0419DEDB-B818-4FF6-BE52-5009CD5AF063}"/>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E2F7041B-49DB-43FC-BF66-89F9614C7A96}"/>
    <cellStyle name="Normal 5 2 5 2 5 2 3" xfId="12832" xr:uid="{8875D12C-A5C3-4DBB-9900-8D677A3A0346}"/>
    <cellStyle name="Normal 5 2 5 2 5 3" xfId="6463" xr:uid="{00000000-0005-0000-0000-000033190000}"/>
    <cellStyle name="Normal 5 2 5 2 5 3 2" xfId="14905" xr:uid="{EC92A3EB-5A26-4C4C-B782-C3DBB5BCBC35}"/>
    <cellStyle name="Normal 5 2 5 2 5 4" xfId="10687" xr:uid="{DE5CB23C-1BEE-4213-9D91-D2F8462D2D55}"/>
    <cellStyle name="Normal 5 2 5 2 6" xfId="2592" xr:uid="{00000000-0005-0000-0000-000034190000}"/>
    <cellStyle name="Normal 5 2 5 2 6 2" xfId="6876" xr:uid="{00000000-0005-0000-0000-000035190000}"/>
    <cellStyle name="Normal 5 2 5 2 6 2 2" xfId="15318" xr:uid="{DA7A65BB-A10D-44C0-A36D-D4D9F1B1AE39}"/>
    <cellStyle name="Normal 5 2 5 2 6 3" xfId="11100" xr:uid="{6767E907-0942-4DB9-BB8D-B48B88B0DE8C}"/>
    <cellStyle name="Normal 5 2 5 2 7" xfId="4811" xr:uid="{00000000-0005-0000-0000-000036190000}"/>
    <cellStyle name="Normal 5 2 5 2 7 2" xfId="13253" xr:uid="{AB247C26-2088-40FE-A74A-2D269EBEDB84}"/>
    <cellStyle name="Normal 5 2 5 2 8" xfId="9035" xr:uid="{909A8FE4-3FE1-4F78-90CF-75A076595C6A}"/>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8A13C9F5-FA76-43D6-814F-E3837090713E}"/>
    <cellStyle name="Normal 5 2 5 3 2 3" xfId="11592" xr:uid="{A9D37736-5B54-4DEE-AB34-EAF1FC1BCE23}"/>
    <cellStyle name="Normal 5 2 5 3 3" xfId="5223" xr:uid="{00000000-0005-0000-0000-00003A190000}"/>
    <cellStyle name="Normal 5 2 5 3 3 2" xfId="13665" xr:uid="{B4FB5B79-5133-4140-AACA-9468FB79D6A1}"/>
    <cellStyle name="Normal 5 2 5 3 4" xfId="9447" xr:uid="{968E0C03-A421-4396-8461-02708B09031F}"/>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BD8F5030-0CAA-416B-8683-D1CCAB04D31C}"/>
    <cellStyle name="Normal 5 2 5 4 2 3" xfId="12005" xr:uid="{FED9B4B3-1FEC-4DD0-888A-A83759A058F3}"/>
    <cellStyle name="Normal 5 2 5 4 3" xfId="5636" xr:uid="{00000000-0005-0000-0000-00003E190000}"/>
    <cellStyle name="Normal 5 2 5 4 3 2" xfId="14078" xr:uid="{E985023C-FE2D-4E51-947A-079CCEB0CE4F}"/>
    <cellStyle name="Normal 5 2 5 4 4" xfId="9860" xr:uid="{C2F9641D-B273-4B9E-95B4-26B7124984BE}"/>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5744FE14-359A-4DEA-907A-77B7D83E03B6}"/>
    <cellStyle name="Normal 5 2 5 5 2 3" xfId="12418" xr:uid="{8F83FD02-DD7D-4B6F-B79E-E03F3B39089A}"/>
    <cellStyle name="Normal 5 2 5 5 3" xfId="6049" xr:uid="{00000000-0005-0000-0000-000042190000}"/>
    <cellStyle name="Normal 5 2 5 5 3 2" xfId="14491" xr:uid="{ACC6A305-8DB9-4CAB-AF46-E166D0D7BC8E}"/>
    <cellStyle name="Normal 5 2 5 5 4" xfId="10273" xr:uid="{BBDFCF16-555B-4ECF-AD61-30A49166C8CE}"/>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9B86832F-412C-4C48-A726-B1340C14A2B9}"/>
    <cellStyle name="Normal 5 2 5 6 2 3" xfId="12831" xr:uid="{C0BCE0A7-0532-40B0-AAE9-6EDC47FC55A4}"/>
    <cellStyle name="Normal 5 2 5 6 3" xfId="6462" xr:uid="{00000000-0005-0000-0000-000046190000}"/>
    <cellStyle name="Normal 5 2 5 6 3 2" xfId="14904" xr:uid="{12424F26-1765-4504-8757-15690D0F8D35}"/>
    <cellStyle name="Normal 5 2 5 6 4" xfId="10686" xr:uid="{67BE207F-C064-42B6-8428-479221208CED}"/>
    <cellStyle name="Normal 5 2 5 7" xfId="2591" xr:uid="{00000000-0005-0000-0000-000047190000}"/>
    <cellStyle name="Normal 5 2 5 7 2" xfId="6875" xr:uid="{00000000-0005-0000-0000-000048190000}"/>
    <cellStyle name="Normal 5 2 5 7 2 2" xfId="15317" xr:uid="{589B793A-3A1E-47D4-B903-5B40755679B0}"/>
    <cellStyle name="Normal 5 2 5 7 3" xfId="11099" xr:uid="{EAC013EB-85ED-4C8B-92E5-A77214620F71}"/>
    <cellStyle name="Normal 5 2 5 8" xfId="4810" xr:uid="{00000000-0005-0000-0000-000049190000}"/>
    <cellStyle name="Normal 5 2 5 8 2" xfId="13252" xr:uid="{59ED8663-8083-4203-8F54-CB8FAC13F729}"/>
    <cellStyle name="Normal 5 2 5 9" xfId="9034" xr:uid="{D2846EF1-7CC8-4683-AAFD-3586D08EB2FC}"/>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EE929BB8-945A-479A-90DB-8C0DBB015C5B}"/>
    <cellStyle name="Normal 5 2 6 2 2 3" xfId="11594" xr:uid="{2A936410-70E8-4ED1-9BCD-6702B013D048}"/>
    <cellStyle name="Normal 5 2 6 2 3" xfId="5225" xr:uid="{00000000-0005-0000-0000-00004E190000}"/>
    <cellStyle name="Normal 5 2 6 2 3 2" xfId="13667" xr:uid="{57846D4D-86FF-4760-8875-F90E2106D1BA}"/>
    <cellStyle name="Normal 5 2 6 2 4" xfId="9449" xr:uid="{7CB2ADDD-BBAE-45E6-A355-CB7F73BB1B14}"/>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A9ED5114-2F09-4E10-B201-9C2B4976CAA1}"/>
    <cellStyle name="Normal 5 2 6 3 2 3" xfId="12007" xr:uid="{FE744FC1-D653-47F6-AA24-3052B7CA70D5}"/>
    <cellStyle name="Normal 5 2 6 3 3" xfId="5638" xr:uid="{00000000-0005-0000-0000-000052190000}"/>
    <cellStyle name="Normal 5 2 6 3 3 2" xfId="14080" xr:uid="{A2EF3C8D-5E7F-4FFC-9429-C49431AC1336}"/>
    <cellStyle name="Normal 5 2 6 3 4" xfId="9862" xr:uid="{B2320DE9-5CB6-4EAD-B8E3-A9AA88355108}"/>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E4FEBFF4-5235-45C3-B90C-AD9EB40790CF}"/>
    <cellStyle name="Normal 5 2 6 4 2 3" xfId="12420" xr:uid="{DA41A363-D77D-45E0-9244-F27B8B9EF1E4}"/>
    <cellStyle name="Normal 5 2 6 4 3" xfId="6051" xr:uid="{00000000-0005-0000-0000-000056190000}"/>
    <cellStyle name="Normal 5 2 6 4 3 2" xfId="14493" xr:uid="{D97AE8AD-D3B5-4A2A-9D2D-815313066475}"/>
    <cellStyle name="Normal 5 2 6 4 4" xfId="10275" xr:uid="{C56A7A6F-4EBB-45A1-8355-89B5A6970DA4}"/>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8F3286EA-3C69-4D98-B4AD-0F2FB75510CF}"/>
    <cellStyle name="Normal 5 2 6 5 2 3" xfId="12833" xr:uid="{C5513D4C-BBDB-44D5-9FDF-D5B939012C82}"/>
    <cellStyle name="Normal 5 2 6 5 3" xfId="6464" xr:uid="{00000000-0005-0000-0000-00005A190000}"/>
    <cellStyle name="Normal 5 2 6 5 3 2" xfId="14906" xr:uid="{839D1D67-315F-4EAF-8073-FAACB7CDD1ED}"/>
    <cellStyle name="Normal 5 2 6 5 4" xfId="10688" xr:uid="{0578E94B-8D0B-4F82-B3A0-142BEDDFE43E}"/>
    <cellStyle name="Normal 5 2 6 6" xfId="2593" xr:uid="{00000000-0005-0000-0000-00005B190000}"/>
    <cellStyle name="Normal 5 2 6 6 2" xfId="6877" xr:uid="{00000000-0005-0000-0000-00005C190000}"/>
    <cellStyle name="Normal 5 2 6 6 2 2" xfId="15319" xr:uid="{7048E46C-4D94-4A19-8E3F-9B387F01B7E7}"/>
    <cellStyle name="Normal 5 2 6 6 3" xfId="11101" xr:uid="{D431F5E9-61C7-42C5-BF2F-EBEFC8AC4FA4}"/>
    <cellStyle name="Normal 5 2 6 7" xfId="4812" xr:uid="{00000000-0005-0000-0000-00005D190000}"/>
    <cellStyle name="Normal 5 2 6 7 2" xfId="13254" xr:uid="{9645109A-4715-4F69-B18B-A2B747306238}"/>
    <cellStyle name="Normal 5 2 6 8" xfId="9036" xr:uid="{5F060239-31A5-44DA-834A-5DB76A6DA698}"/>
    <cellStyle name="Normal 5 2 7" xfId="881" xr:uid="{00000000-0005-0000-0000-00005E190000}"/>
    <cellStyle name="Normal 5 2 7 2" xfId="3116" xr:uid="{00000000-0005-0000-0000-00005F190000}"/>
    <cellStyle name="Normal 5 2 7 2 2" xfId="7339" xr:uid="{00000000-0005-0000-0000-000060190000}"/>
    <cellStyle name="Normal 5 2 7 2 2 2" xfId="15781" xr:uid="{9BFEFB01-B727-4220-81A4-E05EE09F71ED}"/>
    <cellStyle name="Normal 5 2 7 2 3" xfId="11563" xr:uid="{AAA90D2F-4A8F-4FAD-8B1C-C7D8CEAA0595}"/>
    <cellStyle name="Normal 5 2 7 3" xfId="5194" xr:uid="{00000000-0005-0000-0000-000061190000}"/>
    <cellStyle name="Normal 5 2 7 3 2" xfId="13636" xr:uid="{2EE0213F-9B28-4426-81A7-81205499D578}"/>
    <cellStyle name="Normal 5 2 7 4" xfId="9418" xr:uid="{A3A67C03-0B8A-4116-AD5D-9FD4F554DDAA}"/>
    <cellStyle name="Normal 5 2 8" xfId="1299" xr:uid="{00000000-0005-0000-0000-000062190000}"/>
    <cellStyle name="Normal 5 2 8 2" xfId="3529" xr:uid="{00000000-0005-0000-0000-000063190000}"/>
    <cellStyle name="Normal 5 2 8 2 2" xfId="7752" xr:uid="{00000000-0005-0000-0000-000064190000}"/>
    <cellStyle name="Normal 5 2 8 2 2 2" xfId="16194" xr:uid="{E234D1E3-83CE-4B2C-B73B-6C577FD40281}"/>
    <cellStyle name="Normal 5 2 8 2 3" xfId="11976" xr:uid="{5060F54E-513C-4FF7-B1F0-21FC64626CC8}"/>
    <cellStyle name="Normal 5 2 8 3" xfId="5607" xr:uid="{00000000-0005-0000-0000-000065190000}"/>
    <cellStyle name="Normal 5 2 8 3 2" xfId="14049" xr:uid="{930DCFA7-532E-491B-919A-53C03958BB0E}"/>
    <cellStyle name="Normal 5 2 8 4" xfId="9831" xr:uid="{33EE4898-530B-4D9E-9DF9-FA6A1F74D105}"/>
    <cellStyle name="Normal 5 2 9" xfId="1712" xr:uid="{00000000-0005-0000-0000-000066190000}"/>
    <cellStyle name="Normal 5 2 9 2" xfId="3942" xr:uid="{00000000-0005-0000-0000-000067190000}"/>
    <cellStyle name="Normal 5 2 9 2 2" xfId="8165" xr:uid="{00000000-0005-0000-0000-000068190000}"/>
    <cellStyle name="Normal 5 2 9 2 2 2" xfId="16607" xr:uid="{762CD8FB-BF2C-4044-8749-6124E921174F}"/>
    <cellStyle name="Normal 5 2 9 2 3" xfId="12389" xr:uid="{407553A2-E8E4-4EBA-A524-D2CE14D4C616}"/>
    <cellStyle name="Normal 5 2 9 3" xfId="6020" xr:uid="{00000000-0005-0000-0000-000069190000}"/>
    <cellStyle name="Normal 5 2 9 3 2" xfId="14462" xr:uid="{6EFB629B-C67B-4AD3-AC26-B64E4652E1BF}"/>
    <cellStyle name="Normal 5 2 9 4" xfId="10244" xr:uid="{D5C0D32C-247F-4F22-A07E-23DB828AA0C9}"/>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C1A8A6EF-9382-4EA1-A962-6AC2F283D05F}"/>
    <cellStyle name="Normal 5 3 10 2 3" xfId="12834" xr:uid="{45EF71DC-C310-4FC9-A86D-6A36662ACB50}"/>
    <cellStyle name="Normal 5 3 10 3" xfId="6465" xr:uid="{00000000-0005-0000-0000-00006E190000}"/>
    <cellStyle name="Normal 5 3 10 3 2" xfId="14907" xr:uid="{AF66D72A-E1D3-47B6-9D66-7B8AC281582E}"/>
    <cellStyle name="Normal 5 3 10 4" xfId="10689" xr:uid="{55E6940B-4848-41C6-9EAA-51B1608D3EE3}"/>
    <cellStyle name="Normal 5 3 11" xfId="2594" xr:uid="{00000000-0005-0000-0000-00006F190000}"/>
    <cellStyle name="Normal 5 3 11 2" xfId="6878" xr:uid="{00000000-0005-0000-0000-000070190000}"/>
    <cellStyle name="Normal 5 3 11 2 2" xfId="15320" xr:uid="{5C2ACBE9-BD6B-46C9-A749-76D8EC49E279}"/>
    <cellStyle name="Normal 5 3 11 3" xfId="11102" xr:uid="{7F959FE6-DD63-4D6C-9E01-D622BCC7E5E5}"/>
    <cellStyle name="Normal 5 3 12" xfId="4813" xr:uid="{00000000-0005-0000-0000-000071190000}"/>
    <cellStyle name="Normal 5 3 12 2" xfId="13255" xr:uid="{C95DDF07-8436-47FC-BA17-D0B9CE5F4506}"/>
    <cellStyle name="Normal 5 3 13" xfId="9037" xr:uid="{34009930-8F7C-4DED-BC85-0BDF73B653EA}"/>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F78566EA-BB99-4F9F-B5E5-7C9703C131F7}"/>
    <cellStyle name="Normal 5 3 3 11" xfId="9038" xr:uid="{01C90E15-DD05-452B-9547-954038BD0055}"/>
    <cellStyle name="Normal 5 3 3 2" xfId="442" xr:uid="{00000000-0005-0000-0000-000076190000}"/>
    <cellStyle name="Normal 5 3 3 2 10" xfId="9039" xr:uid="{32C61321-22FF-4B40-9F7D-658E03123CBB}"/>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2766CE5D-9BF2-43E9-A5E4-83F0D6875FD9}"/>
    <cellStyle name="Normal 5 3 3 2 2 2 2 2 3" xfId="11599" xr:uid="{F386C9BB-2F7A-4AD1-B8F5-6407E38F47DA}"/>
    <cellStyle name="Normal 5 3 3 2 2 2 2 3" xfId="5230" xr:uid="{00000000-0005-0000-0000-00007C190000}"/>
    <cellStyle name="Normal 5 3 3 2 2 2 2 3 2" xfId="13672" xr:uid="{09F7ECAA-515E-4F2E-B6C6-FA6A309D80FD}"/>
    <cellStyle name="Normal 5 3 3 2 2 2 2 4" xfId="9454" xr:uid="{BFA2ACA9-BAE7-4639-923A-86258BFEB1AA}"/>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03CD83D4-1513-4228-80F9-39B3B88FC91C}"/>
    <cellStyle name="Normal 5 3 3 2 2 2 3 2 3" xfId="12012" xr:uid="{4FA08158-71C5-4F03-A121-F7741820922E}"/>
    <cellStyle name="Normal 5 3 3 2 2 2 3 3" xfId="5643" xr:uid="{00000000-0005-0000-0000-000080190000}"/>
    <cellStyle name="Normal 5 3 3 2 2 2 3 3 2" xfId="14085" xr:uid="{E22CD8B9-1529-4807-B212-11C4773FAA43}"/>
    <cellStyle name="Normal 5 3 3 2 2 2 3 4" xfId="9867" xr:uid="{8E28E602-A82E-4B5A-AEA2-18B0D2C9699B}"/>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4AD2ED63-D97B-4653-9A51-82EC326F9A41}"/>
    <cellStyle name="Normal 5 3 3 2 2 2 4 2 3" xfId="12425" xr:uid="{45574EC9-EF64-49DA-B19E-76D3C81CF76F}"/>
    <cellStyle name="Normal 5 3 3 2 2 2 4 3" xfId="6056" xr:uid="{00000000-0005-0000-0000-000084190000}"/>
    <cellStyle name="Normal 5 3 3 2 2 2 4 3 2" xfId="14498" xr:uid="{A4B50DBD-9C33-4B7A-86C4-DDA7229A0573}"/>
    <cellStyle name="Normal 5 3 3 2 2 2 4 4" xfId="10280" xr:uid="{0CD7FEDE-49C9-4073-A443-C5A5A3873491}"/>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62A676E2-85E8-462A-8485-EA5A13911DAB}"/>
    <cellStyle name="Normal 5 3 3 2 2 2 5 2 3" xfId="12838" xr:uid="{90B9B69E-B4D8-4996-9D88-8BF7715F19E9}"/>
    <cellStyle name="Normal 5 3 3 2 2 2 5 3" xfId="6469" xr:uid="{00000000-0005-0000-0000-000088190000}"/>
    <cellStyle name="Normal 5 3 3 2 2 2 5 3 2" xfId="14911" xr:uid="{BE0EA832-C105-44C8-AC78-320D6016E53E}"/>
    <cellStyle name="Normal 5 3 3 2 2 2 5 4" xfId="10693" xr:uid="{ECFB1D65-8225-4C41-91A0-7D8EBAA12C6C}"/>
    <cellStyle name="Normal 5 3 3 2 2 2 6" xfId="2598" xr:uid="{00000000-0005-0000-0000-000089190000}"/>
    <cellStyle name="Normal 5 3 3 2 2 2 6 2" xfId="6882" xr:uid="{00000000-0005-0000-0000-00008A190000}"/>
    <cellStyle name="Normal 5 3 3 2 2 2 6 2 2" xfId="15324" xr:uid="{257F8888-4894-45E8-AC6B-84369AF5EB5F}"/>
    <cellStyle name="Normal 5 3 3 2 2 2 6 3" xfId="11106" xr:uid="{B2D65334-D300-4C9A-9A7B-3768A17B2367}"/>
    <cellStyle name="Normal 5 3 3 2 2 2 7" xfId="4817" xr:uid="{00000000-0005-0000-0000-00008B190000}"/>
    <cellStyle name="Normal 5 3 3 2 2 2 7 2" xfId="13259" xr:uid="{0EBE57B8-9B08-4898-8634-10B71751045A}"/>
    <cellStyle name="Normal 5 3 3 2 2 2 8" xfId="9041" xr:uid="{336DA1CF-C94C-4332-871E-C8C4B0F99583}"/>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D6EBE769-E139-41E0-99AC-F81E38DB721E}"/>
    <cellStyle name="Normal 5 3 3 2 2 3 2 3" xfId="11598" xr:uid="{20F5214B-4237-46B2-AE4C-B6BE0DBEE3C0}"/>
    <cellStyle name="Normal 5 3 3 2 2 3 3" xfId="5229" xr:uid="{00000000-0005-0000-0000-00008F190000}"/>
    <cellStyle name="Normal 5 3 3 2 2 3 3 2" xfId="13671" xr:uid="{994D27F3-63FB-4F44-B6B9-52719B3614DA}"/>
    <cellStyle name="Normal 5 3 3 2 2 3 4" xfId="9453" xr:uid="{B3FBB557-FA3C-4149-8202-394494B32A6C}"/>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DD8E73A4-364E-4070-BDE2-9BA83E26C6DC}"/>
    <cellStyle name="Normal 5 3 3 2 2 4 2 3" xfId="12011" xr:uid="{573A68CF-2E37-4396-80AA-E24C77400F92}"/>
    <cellStyle name="Normal 5 3 3 2 2 4 3" xfId="5642" xr:uid="{00000000-0005-0000-0000-000093190000}"/>
    <cellStyle name="Normal 5 3 3 2 2 4 3 2" xfId="14084" xr:uid="{814B9651-15B9-410D-896A-4391CE1E2E7F}"/>
    <cellStyle name="Normal 5 3 3 2 2 4 4" xfId="9866" xr:uid="{A453D5A6-646F-4F38-8045-E11CC394D17B}"/>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B0DA2CE1-EBA0-4BA8-A3AB-A8155570F8A0}"/>
    <cellStyle name="Normal 5 3 3 2 2 5 2 3" xfId="12424" xr:uid="{3EC940DA-A2D2-4789-A087-D2B3542683C8}"/>
    <cellStyle name="Normal 5 3 3 2 2 5 3" xfId="6055" xr:uid="{00000000-0005-0000-0000-000097190000}"/>
    <cellStyle name="Normal 5 3 3 2 2 5 3 2" xfId="14497" xr:uid="{C3DFC0AA-43D5-44C1-8854-75BC394F486C}"/>
    <cellStyle name="Normal 5 3 3 2 2 5 4" xfId="10279" xr:uid="{A865C954-5A18-4BCE-81A2-79F7CF74A684}"/>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8E1812DF-538D-407B-85CD-4DE9F4E26449}"/>
    <cellStyle name="Normal 5 3 3 2 2 6 2 3" xfId="12837" xr:uid="{3BD19553-108F-4B16-B805-CB5C051C28A6}"/>
    <cellStyle name="Normal 5 3 3 2 2 6 3" xfId="6468" xr:uid="{00000000-0005-0000-0000-00009B190000}"/>
    <cellStyle name="Normal 5 3 3 2 2 6 3 2" xfId="14910" xr:uid="{1AC61A0E-5D3D-4678-8136-2172C1491784}"/>
    <cellStyle name="Normal 5 3 3 2 2 6 4" xfId="10692" xr:uid="{719F6583-2295-4849-A4D5-1B6DAEEFEB41}"/>
    <cellStyle name="Normal 5 3 3 2 2 7" xfId="2597" xr:uid="{00000000-0005-0000-0000-00009C190000}"/>
    <cellStyle name="Normal 5 3 3 2 2 7 2" xfId="6881" xr:uid="{00000000-0005-0000-0000-00009D190000}"/>
    <cellStyle name="Normal 5 3 3 2 2 7 2 2" xfId="15323" xr:uid="{9DB8A2FF-088C-41B4-B36B-54C21D3118B9}"/>
    <cellStyle name="Normal 5 3 3 2 2 7 3" xfId="11105" xr:uid="{3D603969-E317-4819-8598-90DB2209FB21}"/>
    <cellStyle name="Normal 5 3 3 2 2 8" xfId="4816" xr:uid="{00000000-0005-0000-0000-00009E190000}"/>
    <cellStyle name="Normal 5 3 3 2 2 8 2" xfId="13258" xr:uid="{55921DB6-D68D-4554-B601-4CA1CC6C9373}"/>
    <cellStyle name="Normal 5 3 3 2 2 9" xfId="9040" xr:uid="{1FA5223E-B446-4A8F-8387-9BE7BB2EAED8}"/>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FF2EAC50-1455-4390-A286-7D8E7F7795DB}"/>
    <cellStyle name="Normal 5 3 3 2 3 2 2 3" xfId="11600" xr:uid="{AB0BD45A-4C57-43A4-99C6-82FF72D28420}"/>
    <cellStyle name="Normal 5 3 3 2 3 2 3" xfId="5231" xr:uid="{00000000-0005-0000-0000-0000A3190000}"/>
    <cellStyle name="Normal 5 3 3 2 3 2 3 2" xfId="13673" xr:uid="{DCC41E47-D7B6-4D75-B1E3-EC079337FCA4}"/>
    <cellStyle name="Normal 5 3 3 2 3 2 4" xfId="9455" xr:uid="{A8904D41-A183-4A6B-B8FA-51E2D1264C19}"/>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AE192AF3-6450-46D0-93C8-DFBF151BE135}"/>
    <cellStyle name="Normal 5 3 3 2 3 3 2 3" xfId="12013" xr:uid="{0CA31CC6-379C-48B8-A15C-76853C9066C9}"/>
    <cellStyle name="Normal 5 3 3 2 3 3 3" xfId="5644" xr:uid="{00000000-0005-0000-0000-0000A7190000}"/>
    <cellStyle name="Normal 5 3 3 2 3 3 3 2" xfId="14086" xr:uid="{573E173F-6068-433D-9466-756CE56B4C5E}"/>
    <cellStyle name="Normal 5 3 3 2 3 3 4" xfId="9868" xr:uid="{5624CC2C-4C34-4A6D-BEFC-16A8111E067F}"/>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69680074-A786-4FFA-A562-B1AD2D2C70AE}"/>
    <cellStyle name="Normal 5 3 3 2 3 4 2 3" xfId="12426" xr:uid="{20F808B2-C18C-44A6-9E85-1A26B309A88B}"/>
    <cellStyle name="Normal 5 3 3 2 3 4 3" xfId="6057" xr:uid="{00000000-0005-0000-0000-0000AB190000}"/>
    <cellStyle name="Normal 5 3 3 2 3 4 3 2" xfId="14499" xr:uid="{B8481CCA-308A-419D-80E7-8239A9D60B41}"/>
    <cellStyle name="Normal 5 3 3 2 3 4 4" xfId="10281" xr:uid="{91D3DC20-E937-4A52-873B-91EDCBCD1FEC}"/>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8DA896DA-2783-4E28-879E-C4892BBFFBF3}"/>
    <cellStyle name="Normal 5 3 3 2 3 5 2 3" xfId="12839" xr:uid="{3176F6BE-B3CD-4258-ADD0-9EA9B8483BAD}"/>
    <cellStyle name="Normal 5 3 3 2 3 5 3" xfId="6470" xr:uid="{00000000-0005-0000-0000-0000AF190000}"/>
    <cellStyle name="Normal 5 3 3 2 3 5 3 2" xfId="14912" xr:uid="{E277FEC8-69F2-44A5-BC8A-3E2481CFD89B}"/>
    <cellStyle name="Normal 5 3 3 2 3 5 4" xfId="10694" xr:uid="{83670E23-500F-41F3-B6D0-1117EA51276B}"/>
    <cellStyle name="Normal 5 3 3 2 3 6" xfId="2599" xr:uid="{00000000-0005-0000-0000-0000B0190000}"/>
    <cellStyle name="Normal 5 3 3 2 3 6 2" xfId="6883" xr:uid="{00000000-0005-0000-0000-0000B1190000}"/>
    <cellStyle name="Normal 5 3 3 2 3 6 2 2" xfId="15325" xr:uid="{250B1047-A3C7-49BD-BC60-2E14FEDCB158}"/>
    <cellStyle name="Normal 5 3 3 2 3 6 3" xfId="11107" xr:uid="{FC520837-A48A-4D67-AF51-2A98674B2E4C}"/>
    <cellStyle name="Normal 5 3 3 2 3 7" xfId="4818" xr:uid="{00000000-0005-0000-0000-0000B2190000}"/>
    <cellStyle name="Normal 5 3 3 2 3 7 2" xfId="13260" xr:uid="{46C24CFE-81B2-4E80-9C0A-1BAD11977F9D}"/>
    <cellStyle name="Normal 5 3 3 2 3 8" xfId="9042" xr:uid="{80802E2A-D552-403B-A82D-DBA461CDEA21}"/>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4AFCC22D-2C43-4874-ACD7-E87A1F8C6555}"/>
    <cellStyle name="Normal 5 3 3 2 4 2 3" xfId="11597" xr:uid="{1CDD7231-BC4B-4BB1-955F-1D071A47AD98}"/>
    <cellStyle name="Normal 5 3 3 2 4 3" xfId="5228" xr:uid="{00000000-0005-0000-0000-0000B6190000}"/>
    <cellStyle name="Normal 5 3 3 2 4 3 2" xfId="13670" xr:uid="{9436A941-8CFA-4B09-8BDC-A79B53322BF0}"/>
    <cellStyle name="Normal 5 3 3 2 4 4" xfId="9452" xr:uid="{B2C077D6-20E7-43CB-A08A-E4FC0715D9DA}"/>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0D4A05B4-885A-4744-BC9B-4F1BB5C498FA}"/>
    <cellStyle name="Normal 5 3 3 2 5 2 3" xfId="12010" xr:uid="{4AD46048-C26C-4100-98BF-AEE6926020AA}"/>
    <cellStyle name="Normal 5 3 3 2 5 3" xfId="5641" xr:uid="{00000000-0005-0000-0000-0000BA190000}"/>
    <cellStyle name="Normal 5 3 3 2 5 3 2" xfId="14083" xr:uid="{A8353A8F-8A5C-44C4-847F-22B5FA640E1B}"/>
    <cellStyle name="Normal 5 3 3 2 5 4" xfId="9865" xr:uid="{9AC95E3E-4BC0-4208-8010-56AE235A509E}"/>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BCFEC8E2-8ADA-4D18-8D1E-938CB4B92969}"/>
    <cellStyle name="Normal 5 3 3 2 6 2 3" xfId="12423" xr:uid="{C5C01B8C-9AD9-42C8-AE50-43BFE9E8D8A0}"/>
    <cellStyle name="Normal 5 3 3 2 6 3" xfId="6054" xr:uid="{00000000-0005-0000-0000-0000BE190000}"/>
    <cellStyle name="Normal 5 3 3 2 6 3 2" xfId="14496" xr:uid="{AB7EB46C-D50E-442F-821C-E92F5C4B5D70}"/>
    <cellStyle name="Normal 5 3 3 2 6 4" xfId="10278" xr:uid="{54D050BF-2D9C-4F84-8068-EC57B0BE469E}"/>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AD37EEC3-2C44-4AA0-AAFA-E2CB3EF77699}"/>
    <cellStyle name="Normal 5 3 3 2 7 2 3" xfId="12836" xr:uid="{D1046D2B-FD0D-48A9-A0B6-F02B6B2A6BB4}"/>
    <cellStyle name="Normal 5 3 3 2 7 3" xfId="6467" xr:uid="{00000000-0005-0000-0000-0000C2190000}"/>
    <cellStyle name="Normal 5 3 3 2 7 3 2" xfId="14909" xr:uid="{DD1ED77C-BE55-464E-B110-E7775A21D25A}"/>
    <cellStyle name="Normal 5 3 3 2 7 4" xfId="10691" xr:uid="{061BC57E-F3EF-4910-9115-894D7DFC8512}"/>
    <cellStyle name="Normal 5 3 3 2 8" xfId="2596" xr:uid="{00000000-0005-0000-0000-0000C3190000}"/>
    <cellStyle name="Normal 5 3 3 2 8 2" xfId="6880" xr:uid="{00000000-0005-0000-0000-0000C4190000}"/>
    <cellStyle name="Normal 5 3 3 2 8 2 2" xfId="15322" xr:uid="{A48F7383-C1CA-4C62-9A75-D6C821330BAF}"/>
    <cellStyle name="Normal 5 3 3 2 8 3" xfId="11104" xr:uid="{E218443B-3BD8-4A67-8415-83C08738FD02}"/>
    <cellStyle name="Normal 5 3 3 2 9" xfId="4815" xr:uid="{00000000-0005-0000-0000-0000C5190000}"/>
    <cellStyle name="Normal 5 3 3 2 9 2" xfId="13257" xr:uid="{90669CBD-A395-4009-996F-47BEE2A1ADCD}"/>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F05F42BA-E327-407D-B93C-EF6DC67ACF10}"/>
    <cellStyle name="Normal 5 3 3 3 2 2 2 3" xfId="11602" xr:uid="{0599574A-1AEA-4951-BE09-F18A26B86BB1}"/>
    <cellStyle name="Normal 5 3 3 3 2 2 3" xfId="5233" xr:uid="{00000000-0005-0000-0000-0000CB190000}"/>
    <cellStyle name="Normal 5 3 3 3 2 2 3 2" xfId="13675" xr:uid="{B3CE1605-FFAA-4495-8BE0-BF34E271549F}"/>
    <cellStyle name="Normal 5 3 3 3 2 2 4" xfId="9457" xr:uid="{72573B2D-FAEF-48E6-AD3C-E8C0E93458A5}"/>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DE6075EE-9357-4CB9-9A69-427F740616B9}"/>
    <cellStyle name="Normal 5 3 3 3 2 3 2 3" xfId="12015" xr:uid="{FA589DFE-086A-4F24-92D2-6F625A2D3CE3}"/>
    <cellStyle name="Normal 5 3 3 3 2 3 3" xfId="5646" xr:uid="{00000000-0005-0000-0000-0000CF190000}"/>
    <cellStyle name="Normal 5 3 3 3 2 3 3 2" xfId="14088" xr:uid="{FAC4FB38-1A06-4602-A045-10611E58DAAE}"/>
    <cellStyle name="Normal 5 3 3 3 2 3 4" xfId="9870" xr:uid="{80866C0D-7235-4FDA-8623-4BE507762EAA}"/>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EBFFF0C7-82C8-41B4-A22D-5CACB25E46F5}"/>
    <cellStyle name="Normal 5 3 3 3 2 4 2 3" xfId="12428" xr:uid="{E66FD611-7310-42DB-A111-F9240D01A21E}"/>
    <cellStyle name="Normal 5 3 3 3 2 4 3" xfId="6059" xr:uid="{00000000-0005-0000-0000-0000D3190000}"/>
    <cellStyle name="Normal 5 3 3 3 2 4 3 2" xfId="14501" xr:uid="{5B58FC36-1E22-45AD-ACF5-20DD3A70CEB0}"/>
    <cellStyle name="Normal 5 3 3 3 2 4 4" xfId="10283" xr:uid="{9F9E9B2E-4BE8-467A-BFD2-E74AA899DA1A}"/>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AE4B27DE-C561-4387-914F-A5B642C0B90E}"/>
    <cellStyle name="Normal 5 3 3 3 2 5 2 3" xfId="12841" xr:uid="{3B89A152-F068-44DB-86AE-BEE3180DA2E1}"/>
    <cellStyle name="Normal 5 3 3 3 2 5 3" xfId="6472" xr:uid="{00000000-0005-0000-0000-0000D7190000}"/>
    <cellStyle name="Normal 5 3 3 3 2 5 3 2" xfId="14914" xr:uid="{A061690C-ED13-4862-B052-9CDA9A95240E}"/>
    <cellStyle name="Normal 5 3 3 3 2 5 4" xfId="10696" xr:uid="{131DC97B-F452-4E6B-AECE-4DDE1E3DBCDD}"/>
    <cellStyle name="Normal 5 3 3 3 2 6" xfId="2601" xr:uid="{00000000-0005-0000-0000-0000D8190000}"/>
    <cellStyle name="Normal 5 3 3 3 2 6 2" xfId="6885" xr:uid="{00000000-0005-0000-0000-0000D9190000}"/>
    <cellStyle name="Normal 5 3 3 3 2 6 2 2" xfId="15327" xr:uid="{AE9C129D-D82F-4B4A-AE15-CF032CE2FAAA}"/>
    <cellStyle name="Normal 5 3 3 3 2 6 3" xfId="11109" xr:uid="{7B1B1ABA-20DD-4A3A-B876-508EE88F7446}"/>
    <cellStyle name="Normal 5 3 3 3 2 7" xfId="4820" xr:uid="{00000000-0005-0000-0000-0000DA190000}"/>
    <cellStyle name="Normal 5 3 3 3 2 7 2" xfId="13262" xr:uid="{D6691829-06FC-4E1A-8C7D-60583A768F06}"/>
    <cellStyle name="Normal 5 3 3 3 2 8" xfId="9044" xr:uid="{9D8C9625-471B-4294-BC9A-1E420E9673ED}"/>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285263C9-5C82-463C-A4E0-464DB94220D9}"/>
    <cellStyle name="Normal 5 3 3 3 3 2 3" xfId="11601" xr:uid="{B78CF9A4-FEA7-47DD-85A4-EAAF18898DB9}"/>
    <cellStyle name="Normal 5 3 3 3 3 3" xfId="5232" xr:uid="{00000000-0005-0000-0000-0000DE190000}"/>
    <cellStyle name="Normal 5 3 3 3 3 3 2" xfId="13674" xr:uid="{C896B50A-11F0-4F56-BF63-17ECFB63081A}"/>
    <cellStyle name="Normal 5 3 3 3 3 4" xfId="9456" xr:uid="{8BE6C499-ED58-47E9-84A0-39E4D2EF1434}"/>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D541A46C-97BB-41E4-A248-B9F21B1E0172}"/>
    <cellStyle name="Normal 5 3 3 3 4 2 3" xfId="12014" xr:uid="{791EE4B5-413E-48F8-AF6E-2E6DDB872D52}"/>
    <cellStyle name="Normal 5 3 3 3 4 3" xfId="5645" xr:uid="{00000000-0005-0000-0000-0000E2190000}"/>
    <cellStyle name="Normal 5 3 3 3 4 3 2" xfId="14087" xr:uid="{58B44308-8A83-478E-B8D8-F7361591BF77}"/>
    <cellStyle name="Normal 5 3 3 3 4 4" xfId="9869" xr:uid="{4E3DC50E-E25C-42A5-BFFB-162B36683734}"/>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69CA2955-1CAE-41FA-877E-B2E8F5022269}"/>
    <cellStyle name="Normal 5 3 3 3 5 2 3" xfId="12427" xr:uid="{329BA426-A9A8-430A-A220-60A300D0CA2C}"/>
    <cellStyle name="Normal 5 3 3 3 5 3" xfId="6058" xr:uid="{00000000-0005-0000-0000-0000E6190000}"/>
    <cellStyle name="Normal 5 3 3 3 5 3 2" xfId="14500" xr:uid="{67525CB0-76CC-41E4-9E77-81832637C2CA}"/>
    <cellStyle name="Normal 5 3 3 3 5 4" xfId="10282" xr:uid="{AB103E05-7A07-488D-99B5-883E28C6ED5D}"/>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9A0AF5D4-36D3-4DF6-A60B-359756B67088}"/>
    <cellStyle name="Normal 5 3 3 3 6 2 3" xfId="12840" xr:uid="{EF7F6C25-E74B-4B5F-BF41-764C0562BDC3}"/>
    <cellStyle name="Normal 5 3 3 3 6 3" xfId="6471" xr:uid="{00000000-0005-0000-0000-0000EA190000}"/>
    <cellStyle name="Normal 5 3 3 3 6 3 2" xfId="14913" xr:uid="{01A53427-CD9C-4C50-97CF-583639C7C391}"/>
    <cellStyle name="Normal 5 3 3 3 6 4" xfId="10695" xr:uid="{D89787CD-E7CB-4EF7-8081-0CC2FD48F3DE}"/>
    <cellStyle name="Normal 5 3 3 3 7" xfId="2600" xr:uid="{00000000-0005-0000-0000-0000EB190000}"/>
    <cellStyle name="Normal 5 3 3 3 7 2" xfId="6884" xr:uid="{00000000-0005-0000-0000-0000EC190000}"/>
    <cellStyle name="Normal 5 3 3 3 7 2 2" xfId="15326" xr:uid="{6EF1908C-912D-4FF4-BDAD-622DE71FEE62}"/>
    <cellStyle name="Normal 5 3 3 3 7 3" xfId="11108" xr:uid="{548D97CE-F9DC-4644-98E8-EEA1291C642D}"/>
    <cellStyle name="Normal 5 3 3 3 8" xfId="4819" xr:uid="{00000000-0005-0000-0000-0000ED190000}"/>
    <cellStyle name="Normal 5 3 3 3 8 2" xfId="13261" xr:uid="{06A0EDFA-DEC6-4098-9305-BDFEAFA54723}"/>
    <cellStyle name="Normal 5 3 3 3 9" xfId="9043" xr:uid="{CEC06B7D-E136-4904-B0DD-FD798E3AE302}"/>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C550BCCF-7E9C-4C08-B870-A6E269D780C8}"/>
    <cellStyle name="Normal 5 3 3 4 2 2 3" xfId="11603" xr:uid="{AC7E1869-A5FD-45F5-9FDE-792ED12BBF5F}"/>
    <cellStyle name="Normal 5 3 3 4 2 3" xfId="5234" xr:uid="{00000000-0005-0000-0000-0000F2190000}"/>
    <cellStyle name="Normal 5 3 3 4 2 3 2" xfId="13676" xr:uid="{34893547-8880-4C91-8BB5-2B7B92975123}"/>
    <cellStyle name="Normal 5 3 3 4 2 4" xfId="9458" xr:uid="{BB047FF2-29BE-49E1-AFDB-515437832E1F}"/>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4906E1C8-5F96-41A1-A216-C0988A1BC27F}"/>
    <cellStyle name="Normal 5 3 3 4 3 2 3" xfId="12016" xr:uid="{4EED9980-E1FF-43B0-A008-7F1C6717F8A4}"/>
    <cellStyle name="Normal 5 3 3 4 3 3" xfId="5647" xr:uid="{00000000-0005-0000-0000-0000F6190000}"/>
    <cellStyle name="Normal 5 3 3 4 3 3 2" xfId="14089" xr:uid="{ED1546AE-AD1D-4BC9-BBB9-C55ADCC30CAE}"/>
    <cellStyle name="Normal 5 3 3 4 3 4" xfId="9871" xr:uid="{ABB310FB-11D5-4E7A-BA88-1292D706C533}"/>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92A1A184-B257-463B-80DE-5DA66D9279C0}"/>
    <cellStyle name="Normal 5 3 3 4 4 2 3" xfId="12429" xr:uid="{75401475-DA0B-4060-A225-2281DCB113AA}"/>
    <cellStyle name="Normal 5 3 3 4 4 3" xfId="6060" xr:uid="{00000000-0005-0000-0000-0000FA190000}"/>
    <cellStyle name="Normal 5 3 3 4 4 3 2" xfId="14502" xr:uid="{688D987A-A121-46A3-B54F-57810D89FD9C}"/>
    <cellStyle name="Normal 5 3 3 4 4 4" xfId="10284" xr:uid="{AA2920E0-F8B8-4850-9BB8-4EF81F3895C5}"/>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A97562DF-9819-4461-BBA2-EAC25688CFEC}"/>
    <cellStyle name="Normal 5 3 3 4 5 2 3" xfId="12842" xr:uid="{E11A8D17-C139-4841-B935-C2B154762150}"/>
    <cellStyle name="Normal 5 3 3 4 5 3" xfId="6473" xr:uid="{00000000-0005-0000-0000-0000FE190000}"/>
    <cellStyle name="Normal 5 3 3 4 5 3 2" xfId="14915" xr:uid="{DFEA8786-51AC-4EFB-B1D3-0A335C737303}"/>
    <cellStyle name="Normal 5 3 3 4 5 4" xfId="10697" xr:uid="{9C61F3B7-BD3D-4AA8-8916-45AB5151C03B}"/>
    <cellStyle name="Normal 5 3 3 4 6" xfId="2602" xr:uid="{00000000-0005-0000-0000-0000FF190000}"/>
    <cellStyle name="Normal 5 3 3 4 6 2" xfId="6886" xr:uid="{00000000-0005-0000-0000-0000001A0000}"/>
    <cellStyle name="Normal 5 3 3 4 6 2 2" xfId="15328" xr:uid="{6CEE428B-2031-46D7-95FE-E7B78347BD60}"/>
    <cellStyle name="Normal 5 3 3 4 6 3" xfId="11110" xr:uid="{7F9025FC-D955-4295-A11D-8FC530E0F8D8}"/>
    <cellStyle name="Normal 5 3 3 4 7" xfId="4821" xr:uid="{00000000-0005-0000-0000-0000011A0000}"/>
    <cellStyle name="Normal 5 3 3 4 7 2" xfId="13263" xr:uid="{44930393-9E56-49ED-B246-BDE484943A5F}"/>
    <cellStyle name="Normal 5 3 3 4 8" xfId="9045" xr:uid="{1281891E-E6AA-4DA1-A2FB-8211971ED2FA}"/>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518F1146-2958-4EAB-B3D2-CD3BDEF0F1C4}"/>
    <cellStyle name="Normal 5 3 3 5 2 3" xfId="11596" xr:uid="{CE4DA5E5-9AB8-49DC-B753-45CDE6264D17}"/>
    <cellStyle name="Normal 5 3 3 5 3" xfId="5227" xr:uid="{00000000-0005-0000-0000-0000051A0000}"/>
    <cellStyle name="Normal 5 3 3 5 3 2" xfId="13669" xr:uid="{8E118C97-CBE6-45F6-A4FA-C06EABD50108}"/>
    <cellStyle name="Normal 5 3 3 5 4" xfId="9451" xr:uid="{F7713BD8-DC70-47A1-B918-C799CE93F8A0}"/>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829AAA43-F260-436B-9FB5-AD0B6CF3BCE1}"/>
    <cellStyle name="Normal 5 3 3 6 2 3" xfId="12009" xr:uid="{56A868F3-F5B0-4055-87C4-AF49126BDC2E}"/>
    <cellStyle name="Normal 5 3 3 6 3" xfId="5640" xr:uid="{00000000-0005-0000-0000-0000091A0000}"/>
    <cellStyle name="Normal 5 3 3 6 3 2" xfId="14082" xr:uid="{A125A95A-BA00-4F56-8349-ACBC29C67CC1}"/>
    <cellStyle name="Normal 5 3 3 6 4" xfId="9864" xr:uid="{2DC88579-0325-498F-BDAE-851599216BBA}"/>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FCE912BF-0135-4E76-AE18-281AB2CDD2FF}"/>
    <cellStyle name="Normal 5 3 3 7 2 3" xfId="12422" xr:uid="{150A163B-E449-4809-AEE0-DE5ECD039443}"/>
    <cellStyle name="Normal 5 3 3 7 3" xfId="6053" xr:uid="{00000000-0005-0000-0000-00000D1A0000}"/>
    <cellStyle name="Normal 5 3 3 7 3 2" xfId="14495" xr:uid="{181B89C8-B9E8-4132-AD29-7018C9447838}"/>
    <cellStyle name="Normal 5 3 3 7 4" xfId="10277" xr:uid="{ACE8E3A5-348F-4656-ABE3-467567E786F6}"/>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3A47061E-562C-4AD1-83D7-845432091224}"/>
    <cellStyle name="Normal 5 3 3 8 2 3" xfId="12835" xr:uid="{3F675508-24D0-44C7-8294-B7E0FEA905D1}"/>
    <cellStyle name="Normal 5 3 3 8 3" xfId="6466" xr:uid="{00000000-0005-0000-0000-0000111A0000}"/>
    <cellStyle name="Normal 5 3 3 8 3 2" xfId="14908" xr:uid="{9F706897-1E57-4FB2-B791-F13E8B4651BC}"/>
    <cellStyle name="Normal 5 3 3 8 4" xfId="10690" xr:uid="{CE37A91F-784D-45FC-B4AB-E7B46D41DF16}"/>
    <cellStyle name="Normal 5 3 3 9" xfId="2595" xr:uid="{00000000-0005-0000-0000-0000121A0000}"/>
    <cellStyle name="Normal 5 3 3 9 2" xfId="6879" xr:uid="{00000000-0005-0000-0000-0000131A0000}"/>
    <cellStyle name="Normal 5 3 3 9 2 2" xfId="15321" xr:uid="{86336078-6DB6-4D76-BF92-C746116FEE88}"/>
    <cellStyle name="Normal 5 3 3 9 3" xfId="11103" xr:uid="{B0CDB9A4-0F5F-482F-916C-86E55A211C2F}"/>
    <cellStyle name="Normal 5 3 4" xfId="449" xr:uid="{00000000-0005-0000-0000-0000141A0000}"/>
    <cellStyle name="Normal 5 3 4 10" xfId="9046" xr:uid="{BA4F9AFF-179D-41F8-9691-73C500244CC8}"/>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62E248F5-9633-4F5C-9C7E-478B214F8D7E}"/>
    <cellStyle name="Normal 5 3 4 2 2 2 2 3" xfId="11606" xr:uid="{415648EF-99F0-492D-951E-10CECD0260DE}"/>
    <cellStyle name="Normal 5 3 4 2 2 2 3" xfId="5237" xr:uid="{00000000-0005-0000-0000-00001A1A0000}"/>
    <cellStyle name="Normal 5 3 4 2 2 2 3 2" xfId="13679" xr:uid="{7AB37D89-6606-416C-B246-41A55761D104}"/>
    <cellStyle name="Normal 5 3 4 2 2 2 4" xfId="9461" xr:uid="{1557370D-54E4-40E8-A2D0-A58AF0E0389E}"/>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33241D2A-0E69-4F0B-9941-6C2998AA9538}"/>
    <cellStyle name="Normal 5 3 4 2 2 3 2 3" xfId="12019" xr:uid="{E774C65C-4DB2-47A5-BED5-91A6C88FDEE8}"/>
    <cellStyle name="Normal 5 3 4 2 2 3 3" xfId="5650" xr:uid="{00000000-0005-0000-0000-00001E1A0000}"/>
    <cellStyle name="Normal 5 3 4 2 2 3 3 2" xfId="14092" xr:uid="{095AC1BB-F6FF-4F81-81A0-96662DB8A67E}"/>
    <cellStyle name="Normal 5 3 4 2 2 3 4" xfId="9874" xr:uid="{2A27205B-9CFA-4298-9FD5-5299B0E7821A}"/>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24E0A367-CD8D-4B2F-9C43-D82EE67CD1BC}"/>
    <cellStyle name="Normal 5 3 4 2 2 4 2 3" xfId="12432" xr:uid="{F3B031E6-4244-4230-AFAF-BAFBB3356B3D}"/>
    <cellStyle name="Normal 5 3 4 2 2 4 3" xfId="6063" xr:uid="{00000000-0005-0000-0000-0000221A0000}"/>
    <cellStyle name="Normal 5 3 4 2 2 4 3 2" xfId="14505" xr:uid="{59D87D94-E4F6-4850-BB17-4540E64CE175}"/>
    <cellStyle name="Normal 5 3 4 2 2 4 4" xfId="10287" xr:uid="{6C85FAA9-9E5E-479C-A383-3C5E9C9B122B}"/>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0290BD5F-686A-4090-9BAB-9154EC73398E}"/>
    <cellStyle name="Normal 5 3 4 2 2 5 2 3" xfId="12845" xr:uid="{7037288E-EDBC-43DD-B887-F71766E068A7}"/>
    <cellStyle name="Normal 5 3 4 2 2 5 3" xfId="6476" xr:uid="{00000000-0005-0000-0000-0000261A0000}"/>
    <cellStyle name="Normal 5 3 4 2 2 5 3 2" xfId="14918" xr:uid="{8472D91F-1731-4CC5-8A3F-9EFEFA4F41B7}"/>
    <cellStyle name="Normal 5 3 4 2 2 5 4" xfId="10700" xr:uid="{32F4E92D-A63A-4ADB-93C9-756E254DB9A7}"/>
    <cellStyle name="Normal 5 3 4 2 2 6" xfId="2605" xr:uid="{00000000-0005-0000-0000-0000271A0000}"/>
    <cellStyle name="Normal 5 3 4 2 2 6 2" xfId="6889" xr:uid="{00000000-0005-0000-0000-0000281A0000}"/>
    <cellStyle name="Normal 5 3 4 2 2 6 2 2" xfId="15331" xr:uid="{3706F84C-A3CE-44F6-AACE-44D04D8F5222}"/>
    <cellStyle name="Normal 5 3 4 2 2 6 3" xfId="11113" xr:uid="{595820BE-4281-4308-9401-BC2776516459}"/>
    <cellStyle name="Normal 5 3 4 2 2 7" xfId="4824" xr:uid="{00000000-0005-0000-0000-0000291A0000}"/>
    <cellStyle name="Normal 5 3 4 2 2 7 2" xfId="13266" xr:uid="{69DCCA8F-9408-4E03-A5CE-430638B40F68}"/>
    <cellStyle name="Normal 5 3 4 2 2 8" xfId="9048" xr:uid="{7DB56A26-67C0-48CA-B4F8-A7634A73B954}"/>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23185C3D-F266-40BE-8987-BD9C5B5AE3D9}"/>
    <cellStyle name="Normal 5 3 4 2 3 2 3" xfId="11605" xr:uid="{8B5BA2A1-BE8E-4A17-B30A-C19C9644A0FE}"/>
    <cellStyle name="Normal 5 3 4 2 3 3" xfId="5236" xr:uid="{00000000-0005-0000-0000-00002D1A0000}"/>
    <cellStyle name="Normal 5 3 4 2 3 3 2" xfId="13678" xr:uid="{60502BAE-67D9-4CC5-9DBE-0ED20AB99AEC}"/>
    <cellStyle name="Normal 5 3 4 2 3 4" xfId="9460" xr:uid="{2EC18572-CBB6-4A21-96DB-286505BBC0F4}"/>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0705CDF9-5CEE-4BB6-9F5C-29B2ED56C388}"/>
    <cellStyle name="Normal 5 3 4 2 4 2 3" xfId="12018" xr:uid="{704A65AD-1660-46A7-A6FC-FA0A4A91E58E}"/>
    <cellStyle name="Normal 5 3 4 2 4 3" xfId="5649" xr:uid="{00000000-0005-0000-0000-0000311A0000}"/>
    <cellStyle name="Normal 5 3 4 2 4 3 2" xfId="14091" xr:uid="{5529E97F-A777-4F5D-9C91-4EA559229B0A}"/>
    <cellStyle name="Normal 5 3 4 2 4 4" xfId="9873" xr:uid="{FCC87351-A663-4FBA-85C6-C12F696C2015}"/>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0C11F83E-09F1-43FE-99EF-548AEBC5A106}"/>
    <cellStyle name="Normal 5 3 4 2 5 2 3" xfId="12431" xr:uid="{28888ED1-67AC-471C-8708-AACBEA5E8D4A}"/>
    <cellStyle name="Normal 5 3 4 2 5 3" xfId="6062" xr:uid="{00000000-0005-0000-0000-0000351A0000}"/>
    <cellStyle name="Normal 5 3 4 2 5 3 2" xfId="14504" xr:uid="{F0C99DFA-5768-4D79-884C-D35D8570895F}"/>
    <cellStyle name="Normal 5 3 4 2 5 4" xfId="10286" xr:uid="{CA94861F-3258-47CD-98AF-B5AE46D316FB}"/>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E228871E-05CD-4B5A-AC01-C50207F2B2C8}"/>
    <cellStyle name="Normal 5 3 4 2 6 2 3" xfId="12844" xr:uid="{D1D00186-3035-4595-BD23-98926CF08D53}"/>
    <cellStyle name="Normal 5 3 4 2 6 3" xfId="6475" xr:uid="{00000000-0005-0000-0000-0000391A0000}"/>
    <cellStyle name="Normal 5 3 4 2 6 3 2" xfId="14917" xr:uid="{E1431FE0-7CD7-405D-BA15-4F92F0BFA5FF}"/>
    <cellStyle name="Normal 5 3 4 2 6 4" xfId="10699" xr:uid="{89289E25-4337-4CDB-95EC-BE6E35B89B30}"/>
    <cellStyle name="Normal 5 3 4 2 7" xfId="2604" xr:uid="{00000000-0005-0000-0000-00003A1A0000}"/>
    <cellStyle name="Normal 5 3 4 2 7 2" xfId="6888" xr:uid="{00000000-0005-0000-0000-00003B1A0000}"/>
    <cellStyle name="Normal 5 3 4 2 7 2 2" xfId="15330" xr:uid="{BED32A9F-BE4C-485D-9F11-3F9D1933D413}"/>
    <cellStyle name="Normal 5 3 4 2 7 3" xfId="11112" xr:uid="{434DFFF9-7528-45F8-8D93-3CF2799FBED1}"/>
    <cellStyle name="Normal 5 3 4 2 8" xfId="4823" xr:uid="{00000000-0005-0000-0000-00003C1A0000}"/>
    <cellStyle name="Normal 5 3 4 2 8 2" xfId="13265" xr:uid="{F892BC2E-BB0E-4A40-8568-F9D10634597F}"/>
    <cellStyle name="Normal 5 3 4 2 9" xfId="9047" xr:uid="{FA973CAD-1444-44DD-9B47-57FE7553F53E}"/>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79298D78-46FC-458E-8EB7-EAA669518720}"/>
    <cellStyle name="Normal 5 3 4 3 2 2 3" xfId="11607" xr:uid="{EE42E201-04C0-4A7A-805E-E75ED91D088A}"/>
    <cellStyle name="Normal 5 3 4 3 2 3" xfId="5238" xr:uid="{00000000-0005-0000-0000-0000411A0000}"/>
    <cellStyle name="Normal 5 3 4 3 2 3 2" xfId="13680" xr:uid="{0A9E95D0-D136-44C8-9DC2-0F2B73B11550}"/>
    <cellStyle name="Normal 5 3 4 3 2 4" xfId="9462" xr:uid="{5BB69A60-BEA2-43DC-A0DC-4B5BB9733DD0}"/>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C05B948B-5402-4882-9F05-801E845D49BF}"/>
    <cellStyle name="Normal 5 3 4 3 3 2 3" xfId="12020" xr:uid="{53F4D8BD-D5E2-423E-A159-7A083B824B98}"/>
    <cellStyle name="Normal 5 3 4 3 3 3" xfId="5651" xr:uid="{00000000-0005-0000-0000-0000451A0000}"/>
    <cellStyle name="Normal 5 3 4 3 3 3 2" xfId="14093" xr:uid="{2861F71E-5305-4805-BBA5-99392E5CB19A}"/>
    <cellStyle name="Normal 5 3 4 3 3 4" xfId="9875" xr:uid="{DC833C48-78A6-49DB-82FC-70F4AF96F0A9}"/>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47112A9D-7BC4-4985-9561-A6C746989B07}"/>
    <cellStyle name="Normal 5 3 4 3 4 2 3" xfId="12433" xr:uid="{22296F65-F6B2-4885-8949-38A59F8D67A2}"/>
    <cellStyle name="Normal 5 3 4 3 4 3" xfId="6064" xr:uid="{00000000-0005-0000-0000-0000491A0000}"/>
    <cellStyle name="Normal 5 3 4 3 4 3 2" xfId="14506" xr:uid="{76A15411-03D4-4260-A280-4F5840057C92}"/>
    <cellStyle name="Normal 5 3 4 3 4 4" xfId="10288" xr:uid="{D7C50636-48A1-40B7-97C0-602344F1451F}"/>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8B64FE58-6B4A-4B11-AC9D-2C1DBA91F141}"/>
    <cellStyle name="Normal 5 3 4 3 5 2 3" xfId="12846" xr:uid="{39E5125E-F94E-4B8E-928C-D2FC947AE6FA}"/>
    <cellStyle name="Normal 5 3 4 3 5 3" xfId="6477" xr:uid="{00000000-0005-0000-0000-00004D1A0000}"/>
    <cellStyle name="Normal 5 3 4 3 5 3 2" xfId="14919" xr:uid="{630CBD2A-C8CC-493F-8BCA-2B2C867D2722}"/>
    <cellStyle name="Normal 5 3 4 3 5 4" xfId="10701" xr:uid="{988F634F-4738-4526-949D-637EEE228925}"/>
    <cellStyle name="Normal 5 3 4 3 6" xfId="2606" xr:uid="{00000000-0005-0000-0000-00004E1A0000}"/>
    <cellStyle name="Normal 5 3 4 3 6 2" xfId="6890" xr:uid="{00000000-0005-0000-0000-00004F1A0000}"/>
    <cellStyle name="Normal 5 3 4 3 6 2 2" xfId="15332" xr:uid="{382A19C7-AD04-4D1E-B5E8-890846F19424}"/>
    <cellStyle name="Normal 5 3 4 3 6 3" xfId="11114" xr:uid="{53DC4B53-D9DF-49BF-8D3E-3172DD8D90F9}"/>
    <cellStyle name="Normal 5 3 4 3 7" xfId="4825" xr:uid="{00000000-0005-0000-0000-0000501A0000}"/>
    <cellStyle name="Normal 5 3 4 3 7 2" xfId="13267" xr:uid="{E7C7B797-55AE-446D-B7C6-90DBD481C14A}"/>
    <cellStyle name="Normal 5 3 4 3 8" xfId="9049" xr:uid="{BC551E55-8913-4CDE-8753-7548A4503191}"/>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52ACE0B2-7BCF-4AF5-9BB9-F6B16E539CBC}"/>
    <cellStyle name="Normal 5 3 4 4 2 3" xfId="11604" xr:uid="{036E2DB5-2F1F-4476-8DBC-42975C162BC9}"/>
    <cellStyle name="Normal 5 3 4 4 3" xfId="5235" xr:uid="{00000000-0005-0000-0000-0000541A0000}"/>
    <cellStyle name="Normal 5 3 4 4 3 2" xfId="13677" xr:uid="{3409DCE2-667D-412B-AA47-D747490B5F1C}"/>
    <cellStyle name="Normal 5 3 4 4 4" xfId="9459" xr:uid="{94C0E699-D218-48D8-AB0D-6C025079F3FD}"/>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B50C93DF-561B-4EA4-94A4-D032CBBE58B3}"/>
    <cellStyle name="Normal 5 3 4 5 2 3" xfId="12017" xr:uid="{B1D92F2D-7691-4D97-BAEA-4D11FE35EA52}"/>
    <cellStyle name="Normal 5 3 4 5 3" xfId="5648" xr:uid="{00000000-0005-0000-0000-0000581A0000}"/>
    <cellStyle name="Normal 5 3 4 5 3 2" xfId="14090" xr:uid="{F10394A4-D70B-4670-A276-BFE04BC5AD57}"/>
    <cellStyle name="Normal 5 3 4 5 4" xfId="9872" xr:uid="{E3607FCF-50D3-4FEA-B7C2-00A5CE7F1029}"/>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470BBA05-28E4-4686-8F18-70486E685416}"/>
    <cellStyle name="Normal 5 3 4 6 2 3" xfId="12430" xr:uid="{52ABF147-99A6-4D89-8320-4FB2BC2A5539}"/>
    <cellStyle name="Normal 5 3 4 6 3" xfId="6061" xr:uid="{00000000-0005-0000-0000-00005C1A0000}"/>
    <cellStyle name="Normal 5 3 4 6 3 2" xfId="14503" xr:uid="{0C3A35B0-F936-48E4-9879-C266A8D12DD2}"/>
    <cellStyle name="Normal 5 3 4 6 4" xfId="10285" xr:uid="{1A22581A-407B-4891-A7D4-A0BE6461E0EE}"/>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2C678284-D845-41E4-A674-938F902BC524}"/>
    <cellStyle name="Normal 5 3 4 7 2 3" xfId="12843" xr:uid="{6AAF2899-7280-4041-82F0-6F5E22354BE4}"/>
    <cellStyle name="Normal 5 3 4 7 3" xfId="6474" xr:uid="{00000000-0005-0000-0000-0000601A0000}"/>
    <cellStyle name="Normal 5 3 4 7 3 2" xfId="14916" xr:uid="{A60A82AB-EFCE-4B47-A302-573888794415}"/>
    <cellStyle name="Normal 5 3 4 7 4" xfId="10698" xr:uid="{DCDCAB57-A1D0-4690-925C-4338675CAE29}"/>
    <cellStyle name="Normal 5 3 4 8" xfId="2603" xr:uid="{00000000-0005-0000-0000-0000611A0000}"/>
    <cellStyle name="Normal 5 3 4 8 2" xfId="6887" xr:uid="{00000000-0005-0000-0000-0000621A0000}"/>
    <cellStyle name="Normal 5 3 4 8 2 2" xfId="15329" xr:uid="{376DA26B-505C-4644-A4EF-191A2FA0E12E}"/>
    <cellStyle name="Normal 5 3 4 8 3" xfId="11111" xr:uid="{F883700F-3DAF-4681-931F-ABA7307BF2F8}"/>
    <cellStyle name="Normal 5 3 4 9" xfId="4822" xr:uid="{00000000-0005-0000-0000-0000631A0000}"/>
    <cellStyle name="Normal 5 3 4 9 2" xfId="13264" xr:uid="{B7273273-00D8-4077-ADE6-D0F724937BE3}"/>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8905D6F4-D273-4404-976C-9EBB3953040E}"/>
    <cellStyle name="Normal 5 3 5 2 2 2 3" xfId="11609" xr:uid="{EAF1E048-BFAA-4B33-86A2-2700600A710E}"/>
    <cellStyle name="Normal 5 3 5 2 2 3" xfId="5240" xr:uid="{00000000-0005-0000-0000-0000691A0000}"/>
    <cellStyle name="Normal 5 3 5 2 2 3 2" xfId="13682" xr:uid="{C5B3829C-190C-45FD-AA4A-673976342FA5}"/>
    <cellStyle name="Normal 5 3 5 2 2 4" xfId="9464" xr:uid="{34098DA2-07F6-4BEB-92A8-8324DD5F0371}"/>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73195A51-332C-47DA-BBB3-E764FA4826C3}"/>
    <cellStyle name="Normal 5 3 5 2 3 2 3" xfId="12022" xr:uid="{7A526A81-68A3-42AB-8A71-9C3C44390409}"/>
    <cellStyle name="Normal 5 3 5 2 3 3" xfId="5653" xr:uid="{00000000-0005-0000-0000-00006D1A0000}"/>
    <cellStyle name="Normal 5 3 5 2 3 3 2" xfId="14095" xr:uid="{7AD30E78-0558-4FDC-B499-9511A67E0EC0}"/>
    <cellStyle name="Normal 5 3 5 2 3 4" xfId="9877" xr:uid="{8D017E7F-57F0-4D83-B692-EE6868C21D7B}"/>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F54F60BE-3B2C-4F9D-9AFA-243C1128720B}"/>
    <cellStyle name="Normal 5 3 5 2 4 2 3" xfId="12435" xr:uid="{AECF6CA0-4B47-431E-B970-053A95102025}"/>
    <cellStyle name="Normal 5 3 5 2 4 3" xfId="6066" xr:uid="{00000000-0005-0000-0000-0000711A0000}"/>
    <cellStyle name="Normal 5 3 5 2 4 3 2" xfId="14508" xr:uid="{6D1C48E7-C651-4045-ABA1-7764DB3E0DEE}"/>
    <cellStyle name="Normal 5 3 5 2 4 4" xfId="10290" xr:uid="{8D84C627-4C55-43A8-B106-513C17F611E3}"/>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C7E0447D-FC46-4BD0-9D4A-931E4A706CB6}"/>
    <cellStyle name="Normal 5 3 5 2 5 2 3" xfId="12848" xr:uid="{41C6C225-5043-4BE1-9970-5E956C6AD469}"/>
    <cellStyle name="Normal 5 3 5 2 5 3" xfId="6479" xr:uid="{00000000-0005-0000-0000-0000751A0000}"/>
    <cellStyle name="Normal 5 3 5 2 5 3 2" xfId="14921" xr:uid="{C436500A-5FD5-4284-8007-2511326A6EE2}"/>
    <cellStyle name="Normal 5 3 5 2 5 4" xfId="10703" xr:uid="{5312D24B-6AD2-4A6D-8F9B-3FACEEE88B8C}"/>
    <cellStyle name="Normal 5 3 5 2 6" xfId="2608" xr:uid="{00000000-0005-0000-0000-0000761A0000}"/>
    <cellStyle name="Normal 5 3 5 2 6 2" xfId="6892" xr:uid="{00000000-0005-0000-0000-0000771A0000}"/>
    <cellStyle name="Normal 5 3 5 2 6 2 2" xfId="15334" xr:uid="{51EBABF5-75B0-4EE3-A4D3-AEE17EAFA864}"/>
    <cellStyle name="Normal 5 3 5 2 6 3" xfId="11116" xr:uid="{D5CFD24D-3E3C-48DE-8DB2-09EE62D2033F}"/>
    <cellStyle name="Normal 5 3 5 2 7" xfId="4827" xr:uid="{00000000-0005-0000-0000-0000781A0000}"/>
    <cellStyle name="Normal 5 3 5 2 7 2" xfId="13269" xr:uid="{EB244C15-6548-44F8-B2CA-5E91E7A18153}"/>
    <cellStyle name="Normal 5 3 5 2 8" xfId="9051" xr:uid="{30F8B2F0-7D60-4737-B4BD-FB18AA30110F}"/>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CE3020F2-267C-42CA-9B12-569FFFC8D6AB}"/>
    <cellStyle name="Normal 5 3 5 3 2 3" xfId="11608" xr:uid="{305DC3AE-DDD7-4B76-97BE-3BBD27A2CBA7}"/>
    <cellStyle name="Normal 5 3 5 3 3" xfId="5239" xr:uid="{00000000-0005-0000-0000-00007C1A0000}"/>
    <cellStyle name="Normal 5 3 5 3 3 2" xfId="13681" xr:uid="{FA136CE5-D13A-469C-859E-973742A9EC56}"/>
    <cellStyle name="Normal 5 3 5 3 4" xfId="9463" xr:uid="{A448EA97-565E-40B1-A2FB-87514DEA941C}"/>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D8BA893F-72D2-48D8-8B3C-C02B4D2F0681}"/>
    <cellStyle name="Normal 5 3 5 4 2 3" xfId="12021" xr:uid="{D42F02CD-62AF-402A-8756-9CF5C0174C50}"/>
    <cellStyle name="Normal 5 3 5 4 3" xfId="5652" xr:uid="{00000000-0005-0000-0000-0000801A0000}"/>
    <cellStyle name="Normal 5 3 5 4 3 2" xfId="14094" xr:uid="{F681C4BE-FEB5-4D0E-8684-978B987DA632}"/>
    <cellStyle name="Normal 5 3 5 4 4" xfId="9876" xr:uid="{07A235D9-4C7B-4C8D-B8EE-285B5B9DB4ED}"/>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3E51F051-4B6F-41B5-B05C-6FDA3C48ADF9}"/>
    <cellStyle name="Normal 5 3 5 5 2 3" xfId="12434" xr:uid="{5AAEF494-E4B9-4933-A61E-7891E4FD1B7C}"/>
    <cellStyle name="Normal 5 3 5 5 3" xfId="6065" xr:uid="{00000000-0005-0000-0000-0000841A0000}"/>
    <cellStyle name="Normal 5 3 5 5 3 2" xfId="14507" xr:uid="{F5D9160F-97E0-4F56-A094-DBB1CCC97EAD}"/>
    <cellStyle name="Normal 5 3 5 5 4" xfId="10289" xr:uid="{93B338AE-196B-487F-A2FD-13E23802D7C4}"/>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5DF15865-D26C-4D67-AA5E-AA3E7E7C960B}"/>
    <cellStyle name="Normal 5 3 5 6 2 3" xfId="12847" xr:uid="{6DCF3D74-F89D-41AE-905F-120D17489458}"/>
    <cellStyle name="Normal 5 3 5 6 3" xfId="6478" xr:uid="{00000000-0005-0000-0000-0000881A0000}"/>
    <cellStyle name="Normal 5 3 5 6 3 2" xfId="14920" xr:uid="{D8A95A5D-6E7E-4472-A256-7C72370AE81E}"/>
    <cellStyle name="Normal 5 3 5 6 4" xfId="10702" xr:uid="{0B4D42D8-F925-4151-8064-2879FC840CD6}"/>
    <cellStyle name="Normal 5 3 5 7" xfId="2607" xr:uid="{00000000-0005-0000-0000-0000891A0000}"/>
    <cellStyle name="Normal 5 3 5 7 2" xfId="6891" xr:uid="{00000000-0005-0000-0000-00008A1A0000}"/>
    <cellStyle name="Normal 5 3 5 7 2 2" xfId="15333" xr:uid="{B63C3FA3-4978-4CCA-8743-998D2B95B5CA}"/>
    <cellStyle name="Normal 5 3 5 7 3" xfId="11115" xr:uid="{B1A8EBC3-BE18-4340-A1C0-505C1702F056}"/>
    <cellStyle name="Normal 5 3 5 8" xfId="4826" xr:uid="{00000000-0005-0000-0000-00008B1A0000}"/>
    <cellStyle name="Normal 5 3 5 8 2" xfId="13268" xr:uid="{5A241B65-6AC2-458D-AF81-BA8AADD7689A}"/>
    <cellStyle name="Normal 5 3 5 9" xfId="9050" xr:uid="{9308A7A5-A261-4954-9635-1FEB1D6A20B9}"/>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5FC25638-D6BA-4484-AE1C-95841DD7056F}"/>
    <cellStyle name="Normal 5 3 6 2 2 3" xfId="11610" xr:uid="{F34A0A7D-A21E-4F7F-A7AA-DE7307EC10E8}"/>
    <cellStyle name="Normal 5 3 6 2 3" xfId="5241" xr:uid="{00000000-0005-0000-0000-0000901A0000}"/>
    <cellStyle name="Normal 5 3 6 2 3 2" xfId="13683" xr:uid="{56E730B8-23E8-421F-B9D3-43D0F9258350}"/>
    <cellStyle name="Normal 5 3 6 2 4" xfId="9465" xr:uid="{1A3E26B9-3941-4C82-8D28-66DDBC6ED065}"/>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ADC19E0D-5798-4B63-BDCF-5F1EB771BC38}"/>
    <cellStyle name="Normal 5 3 6 3 2 3" xfId="12023" xr:uid="{4EE8CBBF-DEDC-4265-B01D-EA77AA5405A9}"/>
    <cellStyle name="Normal 5 3 6 3 3" xfId="5654" xr:uid="{00000000-0005-0000-0000-0000941A0000}"/>
    <cellStyle name="Normal 5 3 6 3 3 2" xfId="14096" xr:uid="{190D5422-7B52-4C29-BCB1-DB41BC84EFEB}"/>
    <cellStyle name="Normal 5 3 6 3 4" xfId="9878" xr:uid="{53694992-A439-458C-ACEB-EC547B901E48}"/>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8D5DA778-9715-4C6C-A8E1-A4515EE85A48}"/>
    <cellStyle name="Normal 5 3 6 4 2 3" xfId="12436" xr:uid="{0942650A-885D-426B-990E-794370EB326E}"/>
    <cellStyle name="Normal 5 3 6 4 3" xfId="6067" xr:uid="{00000000-0005-0000-0000-0000981A0000}"/>
    <cellStyle name="Normal 5 3 6 4 3 2" xfId="14509" xr:uid="{CFC50287-CF2D-4C44-9532-3671C8F3E2BF}"/>
    <cellStyle name="Normal 5 3 6 4 4" xfId="10291" xr:uid="{5BCECDA1-C5BC-4B9B-9DF5-9A18AD08B6C7}"/>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E6ABF8F1-52B6-4EF9-A261-28864DDDD973}"/>
    <cellStyle name="Normal 5 3 6 5 2 3" xfId="12849" xr:uid="{194B0D8B-3F47-40FD-B358-901D7B5E2F56}"/>
    <cellStyle name="Normal 5 3 6 5 3" xfId="6480" xr:uid="{00000000-0005-0000-0000-00009C1A0000}"/>
    <cellStyle name="Normal 5 3 6 5 3 2" xfId="14922" xr:uid="{4277A234-DBB3-4996-9E4E-0B78626B96CF}"/>
    <cellStyle name="Normal 5 3 6 5 4" xfId="10704" xr:uid="{ACCE8558-5F44-4AB7-9B50-0F272F15E14A}"/>
    <cellStyle name="Normal 5 3 6 6" xfId="2609" xr:uid="{00000000-0005-0000-0000-00009D1A0000}"/>
    <cellStyle name="Normal 5 3 6 6 2" xfId="6893" xr:uid="{00000000-0005-0000-0000-00009E1A0000}"/>
    <cellStyle name="Normal 5 3 6 6 2 2" xfId="15335" xr:uid="{E983B480-F32B-43D0-ADDD-BA0F895F58B1}"/>
    <cellStyle name="Normal 5 3 6 6 3" xfId="11117" xr:uid="{3BECBC83-EC2F-4341-BE9E-29FA1FB532D7}"/>
    <cellStyle name="Normal 5 3 6 7" xfId="4828" xr:uid="{00000000-0005-0000-0000-00009F1A0000}"/>
    <cellStyle name="Normal 5 3 6 7 2" xfId="13270" xr:uid="{CFB8F128-13AB-4BCE-BB34-AD2B86A659F0}"/>
    <cellStyle name="Normal 5 3 6 8" xfId="9052" xr:uid="{1CC8D57F-3319-40C2-B0D6-E4167C30DE7B}"/>
    <cellStyle name="Normal 5 3 7" xfId="913" xr:uid="{00000000-0005-0000-0000-0000A01A0000}"/>
    <cellStyle name="Normal 5 3 7 2" xfId="3148" xr:uid="{00000000-0005-0000-0000-0000A11A0000}"/>
    <cellStyle name="Normal 5 3 7 2 2" xfId="7371" xr:uid="{00000000-0005-0000-0000-0000A21A0000}"/>
    <cellStyle name="Normal 5 3 7 2 2 2" xfId="15813" xr:uid="{2052D7DD-B413-433A-AFBB-94109E5947DC}"/>
    <cellStyle name="Normal 5 3 7 2 3" xfId="11595" xr:uid="{A588C358-DF2F-4520-AC90-8463F3C5DAE8}"/>
    <cellStyle name="Normal 5 3 7 3" xfId="5226" xr:uid="{00000000-0005-0000-0000-0000A31A0000}"/>
    <cellStyle name="Normal 5 3 7 3 2" xfId="13668" xr:uid="{6A8EF02F-5D58-46FD-AD67-E886EC0D8750}"/>
    <cellStyle name="Normal 5 3 7 4" xfId="9450" xr:uid="{50ED2F18-D8D4-463C-88D8-F1B54A87D5BE}"/>
    <cellStyle name="Normal 5 3 8" xfId="1331" xr:uid="{00000000-0005-0000-0000-0000A41A0000}"/>
    <cellStyle name="Normal 5 3 8 2" xfId="3561" xr:uid="{00000000-0005-0000-0000-0000A51A0000}"/>
    <cellStyle name="Normal 5 3 8 2 2" xfId="7784" xr:uid="{00000000-0005-0000-0000-0000A61A0000}"/>
    <cellStyle name="Normal 5 3 8 2 2 2" xfId="16226" xr:uid="{4097B7A0-5988-467F-90FA-93816159BE8B}"/>
    <cellStyle name="Normal 5 3 8 2 3" xfId="12008" xr:uid="{714BF4AD-2AE0-4493-A80C-8A3B6B3BD038}"/>
    <cellStyle name="Normal 5 3 8 3" xfId="5639" xr:uid="{00000000-0005-0000-0000-0000A71A0000}"/>
    <cellStyle name="Normal 5 3 8 3 2" xfId="14081" xr:uid="{D18D36EB-61AC-4716-80DC-17BBD9FB047D}"/>
    <cellStyle name="Normal 5 3 8 4" xfId="9863" xr:uid="{3C8B5DF9-ADEF-45E7-A062-CA45AC0F86B0}"/>
    <cellStyle name="Normal 5 3 9" xfId="1744" xr:uid="{00000000-0005-0000-0000-0000A81A0000}"/>
    <cellStyle name="Normal 5 3 9 2" xfId="3974" xr:uid="{00000000-0005-0000-0000-0000A91A0000}"/>
    <cellStyle name="Normal 5 3 9 2 2" xfId="8197" xr:uid="{00000000-0005-0000-0000-0000AA1A0000}"/>
    <cellStyle name="Normal 5 3 9 2 2 2" xfId="16639" xr:uid="{5BB8D13F-3722-4B8B-81A8-DC027CE099C7}"/>
    <cellStyle name="Normal 5 3 9 2 3" xfId="12421" xr:uid="{D43794E0-A39E-492D-9FC1-3EE641B455A2}"/>
    <cellStyle name="Normal 5 3 9 3" xfId="6052" xr:uid="{00000000-0005-0000-0000-0000AB1A0000}"/>
    <cellStyle name="Normal 5 3 9 3 2" xfId="14494" xr:uid="{22455BC7-1CED-4D15-B0A1-1D95EBF042E4}"/>
    <cellStyle name="Normal 5 3 9 4" xfId="10276" xr:uid="{364B06E4-C08B-4DE4-8C42-DD43E79F985D}"/>
    <cellStyle name="Normal 5 4" xfId="456" xr:uid="{00000000-0005-0000-0000-0000AC1A0000}"/>
    <cellStyle name="Normal 5 4 10" xfId="4829" xr:uid="{00000000-0005-0000-0000-0000AD1A0000}"/>
    <cellStyle name="Normal 5 4 10 2" xfId="13271" xr:uid="{8F7DAAA1-8284-4D6C-8289-FBD4AB90E935}"/>
    <cellStyle name="Normal 5 4 11" xfId="9053" xr:uid="{D7F2D8E5-B2D4-4EB7-8E8A-7F10A0F7C69B}"/>
    <cellStyle name="Normal 5 4 2" xfId="457" xr:uid="{00000000-0005-0000-0000-0000AE1A0000}"/>
    <cellStyle name="Normal 5 4 2 10" xfId="9054" xr:uid="{BCE95A89-4E2F-4066-B36F-E1D7416EF1F3}"/>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A7A2D062-B31B-4E8A-9554-8CFFDA7B2AB6}"/>
    <cellStyle name="Normal 5 4 2 2 2 2 2 3" xfId="11614" xr:uid="{45EA493C-5C1D-4E5B-B0AD-444430C5617F}"/>
    <cellStyle name="Normal 5 4 2 2 2 2 3" xfId="5245" xr:uid="{00000000-0005-0000-0000-0000B41A0000}"/>
    <cellStyle name="Normal 5 4 2 2 2 2 3 2" xfId="13687" xr:uid="{44E6936C-7FC6-4807-B46B-E62220CF5514}"/>
    <cellStyle name="Normal 5 4 2 2 2 2 4" xfId="9469" xr:uid="{7608F039-D8B8-4382-8D56-E45DF0F5CD33}"/>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C66F875B-7A9F-4F43-A682-4A36109401D5}"/>
    <cellStyle name="Normal 5 4 2 2 2 3 2 3" xfId="12027" xr:uid="{AF6C7E91-ACD8-43E9-8166-CE29609796B7}"/>
    <cellStyle name="Normal 5 4 2 2 2 3 3" xfId="5658" xr:uid="{00000000-0005-0000-0000-0000B81A0000}"/>
    <cellStyle name="Normal 5 4 2 2 2 3 3 2" xfId="14100" xr:uid="{D6B36E87-74A1-4670-8E85-C571817B4FE7}"/>
    <cellStyle name="Normal 5 4 2 2 2 3 4" xfId="9882" xr:uid="{AC471CB5-7EB2-4191-AC09-41DF06391A5C}"/>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49E50A0B-C73A-4458-8F5D-12170F8B5691}"/>
    <cellStyle name="Normal 5 4 2 2 2 4 2 3" xfId="12440" xr:uid="{8D551B00-ACDA-44B3-8B13-FB2551E9AE6F}"/>
    <cellStyle name="Normal 5 4 2 2 2 4 3" xfId="6071" xr:uid="{00000000-0005-0000-0000-0000BC1A0000}"/>
    <cellStyle name="Normal 5 4 2 2 2 4 3 2" xfId="14513" xr:uid="{D256A670-3AFF-4FB9-9037-1914359CB1E7}"/>
    <cellStyle name="Normal 5 4 2 2 2 4 4" xfId="10295" xr:uid="{61280F06-CDB3-427B-B1C4-FD3D9C24252C}"/>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47D8B374-8F3E-46EF-97D4-7013BF117158}"/>
    <cellStyle name="Normal 5 4 2 2 2 5 2 3" xfId="12853" xr:uid="{2EB4552A-447D-4AF6-8486-1FFC40456CF0}"/>
    <cellStyle name="Normal 5 4 2 2 2 5 3" xfId="6484" xr:uid="{00000000-0005-0000-0000-0000C01A0000}"/>
    <cellStyle name="Normal 5 4 2 2 2 5 3 2" xfId="14926" xr:uid="{9B4F3096-73A4-48AC-948C-69ACED89D682}"/>
    <cellStyle name="Normal 5 4 2 2 2 5 4" xfId="10708" xr:uid="{23B4256B-0CF3-494C-877F-6D4213F34D6B}"/>
    <cellStyle name="Normal 5 4 2 2 2 6" xfId="2613" xr:uid="{00000000-0005-0000-0000-0000C11A0000}"/>
    <cellStyle name="Normal 5 4 2 2 2 6 2" xfId="6897" xr:uid="{00000000-0005-0000-0000-0000C21A0000}"/>
    <cellStyle name="Normal 5 4 2 2 2 6 2 2" xfId="15339" xr:uid="{7B245977-71DD-4DB9-94A5-C4CA5D67D9BC}"/>
    <cellStyle name="Normal 5 4 2 2 2 6 3" xfId="11121" xr:uid="{107B1613-29FC-4BCA-95C9-77ED5118A85D}"/>
    <cellStyle name="Normal 5 4 2 2 2 7" xfId="4832" xr:uid="{00000000-0005-0000-0000-0000C31A0000}"/>
    <cellStyle name="Normal 5 4 2 2 2 7 2" xfId="13274" xr:uid="{ED68F65F-7EB5-431F-9E69-A10AF68AF64E}"/>
    <cellStyle name="Normal 5 4 2 2 2 8" xfId="9056" xr:uid="{AA534B4D-D5B0-4A0A-A3D9-AB1DA5358D1B}"/>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2985FBBF-7A78-4E9E-A360-17063FDA4979}"/>
    <cellStyle name="Normal 5 4 2 2 3 2 3" xfId="11613" xr:uid="{EE57950F-FF08-48FB-B17E-01F07930D6C3}"/>
    <cellStyle name="Normal 5 4 2 2 3 3" xfId="5244" xr:uid="{00000000-0005-0000-0000-0000C71A0000}"/>
    <cellStyle name="Normal 5 4 2 2 3 3 2" xfId="13686" xr:uid="{817A7024-E5F1-4F40-B4B5-1A3665BF8418}"/>
    <cellStyle name="Normal 5 4 2 2 3 4" xfId="9468" xr:uid="{F5566501-604D-4951-A9C2-3F4B0A49F56D}"/>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3C81F33A-6BAE-46DC-AE19-18D5A388FF1B}"/>
    <cellStyle name="Normal 5 4 2 2 4 2 3" xfId="12026" xr:uid="{C21A8353-EE56-47D7-8BE3-36D7FDCB24FE}"/>
    <cellStyle name="Normal 5 4 2 2 4 3" xfId="5657" xr:uid="{00000000-0005-0000-0000-0000CB1A0000}"/>
    <cellStyle name="Normal 5 4 2 2 4 3 2" xfId="14099" xr:uid="{35B8A60F-98AB-4B1D-8F86-605A81423623}"/>
    <cellStyle name="Normal 5 4 2 2 4 4" xfId="9881" xr:uid="{23075B2C-6648-4B4F-A194-5ADEB85831AE}"/>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91AAE642-CBAF-4921-95E1-8BF75466C302}"/>
    <cellStyle name="Normal 5 4 2 2 5 2 3" xfId="12439" xr:uid="{533E0E44-6C4C-403E-B561-FE711EA6C01B}"/>
    <cellStyle name="Normal 5 4 2 2 5 3" xfId="6070" xr:uid="{00000000-0005-0000-0000-0000CF1A0000}"/>
    <cellStyle name="Normal 5 4 2 2 5 3 2" xfId="14512" xr:uid="{29FC0EC5-9B8F-4108-B687-49F9F91246FA}"/>
    <cellStyle name="Normal 5 4 2 2 5 4" xfId="10294" xr:uid="{22C5FCC8-9D7E-45BE-A4B1-6015B46C66C7}"/>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FBBBBABC-BA70-4DFC-851C-DB9BE78F4F06}"/>
    <cellStyle name="Normal 5 4 2 2 6 2 3" xfId="12852" xr:uid="{AF4EF5C7-1EB8-414A-A776-1A1D2055106B}"/>
    <cellStyle name="Normal 5 4 2 2 6 3" xfId="6483" xr:uid="{00000000-0005-0000-0000-0000D31A0000}"/>
    <cellStyle name="Normal 5 4 2 2 6 3 2" xfId="14925" xr:uid="{CCBAC35D-B676-41E4-8F9C-9428B7525FC2}"/>
    <cellStyle name="Normal 5 4 2 2 6 4" xfId="10707" xr:uid="{C84FDB16-9B58-4657-9889-CABECF353B8A}"/>
    <cellStyle name="Normal 5 4 2 2 7" xfId="2612" xr:uid="{00000000-0005-0000-0000-0000D41A0000}"/>
    <cellStyle name="Normal 5 4 2 2 7 2" xfId="6896" xr:uid="{00000000-0005-0000-0000-0000D51A0000}"/>
    <cellStyle name="Normal 5 4 2 2 7 2 2" xfId="15338" xr:uid="{48712B7C-7BAC-48EE-A0D9-F799513D4DDE}"/>
    <cellStyle name="Normal 5 4 2 2 7 3" xfId="11120" xr:uid="{A3A436BE-AF1E-4529-AC1D-B26082889855}"/>
    <cellStyle name="Normal 5 4 2 2 8" xfId="4831" xr:uid="{00000000-0005-0000-0000-0000D61A0000}"/>
    <cellStyle name="Normal 5 4 2 2 8 2" xfId="13273" xr:uid="{37C35B34-705C-4B43-8EEE-86AA9F6CA982}"/>
    <cellStyle name="Normal 5 4 2 2 9" xfId="9055" xr:uid="{9AEF1C07-AF8F-4DAE-A127-5FA67D2BE5F5}"/>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A1C8D961-067F-49C5-85E6-9C9841CAE041}"/>
    <cellStyle name="Normal 5 4 2 3 2 2 3" xfId="11615" xr:uid="{43042AEB-8BF7-47C0-B9F6-77C43313C5A8}"/>
    <cellStyle name="Normal 5 4 2 3 2 3" xfId="5246" xr:uid="{00000000-0005-0000-0000-0000DB1A0000}"/>
    <cellStyle name="Normal 5 4 2 3 2 3 2" xfId="13688" xr:uid="{CD30A84E-6C81-4FEB-8965-0B040714E9C7}"/>
    <cellStyle name="Normal 5 4 2 3 2 4" xfId="9470" xr:uid="{D5DD60B2-E225-4EBA-9DA3-6A9EE1513073}"/>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660CB381-DA5F-495B-9C62-09BF7A66AB01}"/>
    <cellStyle name="Normal 5 4 2 3 3 2 3" xfId="12028" xr:uid="{1D336A1D-C03F-40B0-8E76-AAC72B606DB9}"/>
    <cellStyle name="Normal 5 4 2 3 3 3" xfId="5659" xr:uid="{00000000-0005-0000-0000-0000DF1A0000}"/>
    <cellStyle name="Normal 5 4 2 3 3 3 2" xfId="14101" xr:uid="{EFF3FAAB-9CF9-4F78-A419-9AF0B81B4E8A}"/>
    <cellStyle name="Normal 5 4 2 3 3 4" xfId="9883" xr:uid="{2740CD1F-FED9-4102-98DF-BC311FCCB03D}"/>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48DB1F29-B2AD-43D7-867A-7BD75E796AEF}"/>
    <cellStyle name="Normal 5 4 2 3 4 2 3" xfId="12441" xr:uid="{DA6F28D9-4A85-4A38-B27B-D130419DF987}"/>
    <cellStyle name="Normal 5 4 2 3 4 3" xfId="6072" xr:uid="{00000000-0005-0000-0000-0000E31A0000}"/>
    <cellStyle name="Normal 5 4 2 3 4 3 2" xfId="14514" xr:uid="{EC021E86-875B-44A3-8B09-1E7A41DD871A}"/>
    <cellStyle name="Normal 5 4 2 3 4 4" xfId="10296" xr:uid="{245AD7DB-2212-414F-AE51-7E3CBFECCAF0}"/>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E96C933A-0D27-4366-AA5E-E4B0FE304B73}"/>
    <cellStyle name="Normal 5 4 2 3 5 2 3" xfId="12854" xr:uid="{9634D5E7-6CD2-4FE2-8249-EBB88FEF0875}"/>
    <cellStyle name="Normal 5 4 2 3 5 3" xfId="6485" xr:uid="{00000000-0005-0000-0000-0000E71A0000}"/>
    <cellStyle name="Normal 5 4 2 3 5 3 2" xfId="14927" xr:uid="{0032BC75-0EA1-4205-81FC-FE07ECAD8B07}"/>
    <cellStyle name="Normal 5 4 2 3 5 4" xfId="10709" xr:uid="{B6BE8BFA-982B-48CA-8CD6-D86D4635D228}"/>
    <cellStyle name="Normal 5 4 2 3 6" xfId="2614" xr:uid="{00000000-0005-0000-0000-0000E81A0000}"/>
    <cellStyle name="Normal 5 4 2 3 6 2" xfId="6898" xr:uid="{00000000-0005-0000-0000-0000E91A0000}"/>
    <cellStyle name="Normal 5 4 2 3 6 2 2" xfId="15340" xr:uid="{7CDBBC8E-7EE6-4389-A106-D981482DED0D}"/>
    <cellStyle name="Normal 5 4 2 3 6 3" xfId="11122" xr:uid="{52E64020-89EF-411B-AC07-240BEA753442}"/>
    <cellStyle name="Normal 5 4 2 3 7" xfId="4833" xr:uid="{00000000-0005-0000-0000-0000EA1A0000}"/>
    <cellStyle name="Normal 5 4 2 3 7 2" xfId="13275" xr:uid="{794C3C2E-A55C-4FD5-9E92-3E86B19E930E}"/>
    <cellStyle name="Normal 5 4 2 3 8" xfId="9057" xr:uid="{87C5A2BC-35FD-42F6-9663-F5979BBDB272}"/>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7783A763-121C-4FD4-AF86-A1DF4392D85D}"/>
    <cellStyle name="Normal 5 4 2 4 2 3" xfId="11612" xr:uid="{97635E31-0D98-4BA3-977E-3E450090490F}"/>
    <cellStyle name="Normal 5 4 2 4 3" xfId="5243" xr:uid="{00000000-0005-0000-0000-0000EE1A0000}"/>
    <cellStyle name="Normal 5 4 2 4 3 2" xfId="13685" xr:uid="{28A94493-C960-4236-8EED-167F28FDFDD4}"/>
    <cellStyle name="Normal 5 4 2 4 4" xfId="9467" xr:uid="{66F0D4CC-8142-486B-9E40-CDBAB223F778}"/>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F22EA920-E148-4219-85FF-A89CD44FC0D4}"/>
    <cellStyle name="Normal 5 4 2 5 2 3" xfId="12025" xr:uid="{FC193A91-9F87-4804-A24B-C5E9FFC95CCA}"/>
    <cellStyle name="Normal 5 4 2 5 3" xfId="5656" xr:uid="{00000000-0005-0000-0000-0000F21A0000}"/>
    <cellStyle name="Normal 5 4 2 5 3 2" xfId="14098" xr:uid="{43759951-CE06-466C-AD9C-AB8F044F5436}"/>
    <cellStyle name="Normal 5 4 2 5 4" xfId="9880" xr:uid="{848371DD-C954-4BA7-912F-2073FFF07987}"/>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3396BA00-7B22-4716-BC4E-9F276AB4D92C}"/>
    <cellStyle name="Normal 5 4 2 6 2 3" xfId="12438" xr:uid="{7EB8E70F-18C3-4DE1-BA6C-17BA9AD16E49}"/>
    <cellStyle name="Normal 5 4 2 6 3" xfId="6069" xr:uid="{00000000-0005-0000-0000-0000F61A0000}"/>
    <cellStyle name="Normal 5 4 2 6 3 2" xfId="14511" xr:uid="{C361BFC4-CCFA-4C08-8638-DEC99A169F59}"/>
    <cellStyle name="Normal 5 4 2 6 4" xfId="10293" xr:uid="{3B47E159-7595-4A31-98B2-6DF409BC48AA}"/>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F98EB89D-7CB7-4A79-95DB-51440C330E70}"/>
    <cellStyle name="Normal 5 4 2 7 2 3" xfId="12851" xr:uid="{EFE28E75-87F7-4C66-A158-C35BAEB20C1E}"/>
    <cellStyle name="Normal 5 4 2 7 3" xfId="6482" xr:uid="{00000000-0005-0000-0000-0000FA1A0000}"/>
    <cellStyle name="Normal 5 4 2 7 3 2" xfId="14924" xr:uid="{9816931B-A515-4077-A5FD-900FBF6A934B}"/>
    <cellStyle name="Normal 5 4 2 7 4" xfId="10706" xr:uid="{C73EFF09-C211-41DB-AAC0-8F1AA624B832}"/>
    <cellStyle name="Normal 5 4 2 8" xfId="2611" xr:uid="{00000000-0005-0000-0000-0000FB1A0000}"/>
    <cellStyle name="Normal 5 4 2 8 2" xfId="6895" xr:uid="{00000000-0005-0000-0000-0000FC1A0000}"/>
    <cellStyle name="Normal 5 4 2 8 2 2" xfId="15337" xr:uid="{5B471310-8689-49AE-ABC5-81FA8388F791}"/>
    <cellStyle name="Normal 5 4 2 8 3" xfId="11119" xr:uid="{2AAAD20A-01FE-4BE5-B1F8-BE45CF6F42F6}"/>
    <cellStyle name="Normal 5 4 2 9" xfId="4830" xr:uid="{00000000-0005-0000-0000-0000FD1A0000}"/>
    <cellStyle name="Normal 5 4 2 9 2" xfId="13272" xr:uid="{921C5124-4E6D-4C98-90D3-ECB4FF8816C8}"/>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8EF79403-4F5B-451C-882A-C1D22F1C2C54}"/>
    <cellStyle name="Normal 5 4 3 2 2 2 3" xfId="11617" xr:uid="{AC114C3E-891D-4566-9D5D-048FCC621056}"/>
    <cellStyle name="Normal 5 4 3 2 2 3" xfId="5248" xr:uid="{00000000-0005-0000-0000-0000031B0000}"/>
    <cellStyle name="Normal 5 4 3 2 2 3 2" xfId="13690" xr:uid="{AD44536B-58E4-466C-9A8C-F5D57245F6E7}"/>
    <cellStyle name="Normal 5 4 3 2 2 4" xfId="9472" xr:uid="{4DE598AF-A731-4FE4-8107-BDF16C2538B9}"/>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7CCE8133-4CE8-4037-A35B-245AAC3DC5B3}"/>
    <cellStyle name="Normal 5 4 3 2 3 2 3" xfId="12030" xr:uid="{F17871F1-92AA-41F4-8EBB-3BE95A54B464}"/>
    <cellStyle name="Normal 5 4 3 2 3 3" xfId="5661" xr:uid="{00000000-0005-0000-0000-0000071B0000}"/>
    <cellStyle name="Normal 5 4 3 2 3 3 2" xfId="14103" xr:uid="{9B3F9DAF-6411-478E-9CCD-6E8C1126E659}"/>
    <cellStyle name="Normal 5 4 3 2 3 4" xfId="9885" xr:uid="{6D9E9F1E-6D53-43F1-8971-4BD90A4E14A2}"/>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329DB1A4-5229-4F8A-A26F-6E0A1D22F05B}"/>
    <cellStyle name="Normal 5 4 3 2 4 2 3" xfId="12443" xr:uid="{23F633C6-648E-4329-89D9-F4D3C9F747F8}"/>
    <cellStyle name="Normal 5 4 3 2 4 3" xfId="6074" xr:uid="{00000000-0005-0000-0000-00000B1B0000}"/>
    <cellStyle name="Normal 5 4 3 2 4 3 2" xfId="14516" xr:uid="{2455CA81-AA1A-433F-B7D0-504C4363E525}"/>
    <cellStyle name="Normal 5 4 3 2 4 4" xfId="10298" xr:uid="{9C17024C-FAD3-47BD-9850-D61CF7A3CF29}"/>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DB30C5FB-23BC-44E6-BC62-08B93DFABF10}"/>
    <cellStyle name="Normal 5 4 3 2 5 2 3" xfId="12856" xr:uid="{49897786-4139-4B88-BD1D-BE4D7B2BA351}"/>
    <cellStyle name="Normal 5 4 3 2 5 3" xfId="6487" xr:uid="{00000000-0005-0000-0000-00000F1B0000}"/>
    <cellStyle name="Normal 5 4 3 2 5 3 2" xfId="14929" xr:uid="{E7AB2029-96DB-4B1D-84F3-148B49546DB4}"/>
    <cellStyle name="Normal 5 4 3 2 5 4" xfId="10711" xr:uid="{9CBE28AA-6951-4506-BB33-44BD9D047FF9}"/>
    <cellStyle name="Normal 5 4 3 2 6" xfId="2616" xr:uid="{00000000-0005-0000-0000-0000101B0000}"/>
    <cellStyle name="Normal 5 4 3 2 6 2" xfId="6900" xr:uid="{00000000-0005-0000-0000-0000111B0000}"/>
    <cellStyle name="Normal 5 4 3 2 6 2 2" xfId="15342" xr:uid="{2077BADB-EE1A-448D-8751-2723E78BA135}"/>
    <cellStyle name="Normal 5 4 3 2 6 3" xfId="11124" xr:uid="{3D0762DA-4A76-46DC-A8FA-21EB49975886}"/>
    <cellStyle name="Normal 5 4 3 2 7" xfId="4835" xr:uid="{00000000-0005-0000-0000-0000121B0000}"/>
    <cellStyle name="Normal 5 4 3 2 7 2" xfId="13277" xr:uid="{FE8D1A2E-CB33-4165-8F2B-E9520D22839D}"/>
    <cellStyle name="Normal 5 4 3 2 8" xfId="9059" xr:uid="{D0557D6E-9DE7-412B-9B09-46695DAB85B7}"/>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FF28F704-DB8F-4D34-8906-31884D2E2E27}"/>
    <cellStyle name="Normal 5 4 3 3 2 3" xfId="11616" xr:uid="{732904E0-2D47-4A52-B7B3-6F6378853291}"/>
    <cellStyle name="Normal 5 4 3 3 3" xfId="5247" xr:uid="{00000000-0005-0000-0000-0000161B0000}"/>
    <cellStyle name="Normal 5 4 3 3 3 2" xfId="13689" xr:uid="{0CC5D984-62CC-4B25-A948-B97D13AD9BBB}"/>
    <cellStyle name="Normal 5 4 3 3 4" xfId="9471" xr:uid="{E4618EBB-4ADD-43FF-8E01-319DE047AFAA}"/>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DAC2A2D9-DFE9-46AD-881C-0CABED1C4C83}"/>
    <cellStyle name="Normal 5 4 3 4 2 3" xfId="12029" xr:uid="{EC785A38-CD93-40E5-BCA1-C0327D37D630}"/>
    <cellStyle name="Normal 5 4 3 4 3" xfId="5660" xr:uid="{00000000-0005-0000-0000-00001A1B0000}"/>
    <cellStyle name="Normal 5 4 3 4 3 2" xfId="14102" xr:uid="{8E8D05D2-1A23-48E8-BEB0-B163F30AFCC7}"/>
    <cellStyle name="Normal 5 4 3 4 4" xfId="9884" xr:uid="{B3177386-B846-410B-984E-4B306620A05E}"/>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BB4B22DE-0CFF-4955-93AC-0BC68FF789AB}"/>
    <cellStyle name="Normal 5 4 3 5 2 3" xfId="12442" xr:uid="{84AA5CAF-9121-48FC-9BCF-75EEE877B51E}"/>
    <cellStyle name="Normal 5 4 3 5 3" xfId="6073" xr:uid="{00000000-0005-0000-0000-00001E1B0000}"/>
    <cellStyle name="Normal 5 4 3 5 3 2" xfId="14515" xr:uid="{0CD42B3A-EB6D-4E1E-A342-B112ECD30B04}"/>
    <cellStyle name="Normal 5 4 3 5 4" xfId="10297" xr:uid="{9FA7B7F7-2800-4D3D-BFB8-20F8300E763F}"/>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B04E7A50-0C7E-4274-8D65-0B7631BA0E32}"/>
    <cellStyle name="Normal 5 4 3 6 2 3" xfId="12855" xr:uid="{635397A3-F5D9-497C-9363-9FADEFFC0B88}"/>
    <cellStyle name="Normal 5 4 3 6 3" xfId="6486" xr:uid="{00000000-0005-0000-0000-0000221B0000}"/>
    <cellStyle name="Normal 5 4 3 6 3 2" xfId="14928" xr:uid="{B521F6A2-195E-4DFB-8512-87D94C8AC064}"/>
    <cellStyle name="Normal 5 4 3 6 4" xfId="10710" xr:uid="{2215A869-A115-418B-B288-C9BD47C05074}"/>
    <cellStyle name="Normal 5 4 3 7" xfId="2615" xr:uid="{00000000-0005-0000-0000-0000231B0000}"/>
    <cellStyle name="Normal 5 4 3 7 2" xfId="6899" xr:uid="{00000000-0005-0000-0000-0000241B0000}"/>
    <cellStyle name="Normal 5 4 3 7 2 2" xfId="15341" xr:uid="{AB09D3A9-CB52-4A34-92C3-844B8F11CA1D}"/>
    <cellStyle name="Normal 5 4 3 7 3" xfId="11123" xr:uid="{1B885485-17A1-4E56-A9AB-F8B710B44140}"/>
    <cellStyle name="Normal 5 4 3 8" xfId="4834" xr:uid="{00000000-0005-0000-0000-0000251B0000}"/>
    <cellStyle name="Normal 5 4 3 8 2" xfId="13276" xr:uid="{1B406FBB-6871-4863-8936-08F48A1B082E}"/>
    <cellStyle name="Normal 5 4 3 9" xfId="9058" xr:uid="{6947A433-626B-4C35-B527-4E8456CEBD9B}"/>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6B26A611-9693-41FF-B824-B97EB72E00B1}"/>
    <cellStyle name="Normal 5 4 4 2 2 3" xfId="11618" xr:uid="{3B3A3CBD-7632-44B8-A2F3-E190B1B903A2}"/>
    <cellStyle name="Normal 5 4 4 2 3" xfId="5249" xr:uid="{00000000-0005-0000-0000-00002A1B0000}"/>
    <cellStyle name="Normal 5 4 4 2 3 2" xfId="13691" xr:uid="{74883F91-C076-4529-97E0-DB11A3328324}"/>
    <cellStyle name="Normal 5 4 4 2 4" xfId="9473" xr:uid="{2848EFB2-0E29-40BB-AFE8-30A526C2876D}"/>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974548AC-8ACD-4340-B82B-9FD19EF58C1F}"/>
    <cellStyle name="Normal 5 4 4 3 2 3" xfId="12031" xr:uid="{A9098C09-6A51-45B9-B4FC-B99A0E573B1C}"/>
    <cellStyle name="Normal 5 4 4 3 3" xfId="5662" xr:uid="{00000000-0005-0000-0000-00002E1B0000}"/>
    <cellStyle name="Normal 5 4 4 3 3 2" xfId="14104" xr:uid="{FCBF5818-11D3-43B1-A85F-160589A6769C}"/>
    <cellStyle name="Normal 5 4 4 3 4" xfId="9886" xr:uid="{A0810B40-1114-484D-85B4-7A84F13B98C8}"/>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53BF5DA3-62CA-4CF5-AAC6-039D11A5C684}"/>
    <cellStyle name="Normal 5 4 4 4 2 3" xfId="12444" xr:uid="{9B476C8E-B4E9-439D-9777-1CE15054645D}"/>
    <cellStyle name="Normal 5 4 4 4 3" xfId="6075" xr:uid="{00000000-0005-0000-0000-0000321B0000}"/>
    <cellStyle name="Normal 5 4 4 4 3 2" xfId="14517" xr:uid="{074A06ED-E066-4C85-9CD4-497FD67FF6CC}"/>
    <cellStyle name="Normal 5 4 4 4 4" xfId="10299" xr:uid="{E9328825-6FB2-4E3E-B965-698250286A41}"/>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C1FC05F5-4402-4584-A719-37B57AF46E73}"/>
    <cellStyle name="Normal 5 4 4 5 2 3" xfId="12857" xr:uid="{09A76C4A-8EA6-49E5-8E55-B0220C7ACCC1}"/>
    <cellStyle name="Normal 5 4 4 5 3" xfId="6488" xr:uid="{00000000-0005-0000-0000-0000361B0000}"/>
    <cellStyle name="Normal 5 4 4 5 3 2" xfId="14930" xr:uid="{EE5B90E4-68F1-402A-8C5B-FCBF5F9A6AB9}"/>
    <cellStyle name="Normal 5 4 4 5 4" xfId="10712" xr:uid="{A3E2CC4C-C722-4D75-9DF6-ECCFF4D22FBB}"/>
    <cellStyle name="Normal 5 4 4 6" xfId="2617" xr:uid="{00000000-0005-0000-0000-0000371B0000}"/>
    <cellStyle name="Normal 5 4 4 6 2" xfId="6901" xr:uid="{00000000-0005-0000-0000-0000381B0000}"/>
    <cellStyle name="Normal 5 4 4 6 2 2" xfId="15343" xr:uid="{414E7835-13A5-4C1F-9D66-C95479BB1122}"/>
    <cellStyle name="Normal 5 4 4 6 3" xfId="11125" xr:uid="{400CFCD9-162D-4E04-97E1-F34322A96FB7}"/>
    <cellStyle name="Normal 5 4 4 7" xfId="4836" xr:uid="{00000000-0005-0000-0000-0000391B0000}"/>
    <cellStyle name="Normal 5 4 4 7 2" xfId="13278" xr:uid="{FEACF85C-BFBB-4560-84B1-3A6F5FB84878}"/>
    <cellStyle name="Normal 5 4 4 8" xfId="9060" xr:uid="{A055D90A-C206-432A-85CD-72913A315D16}"/>
    <cellStyle name="Normal 5 4 5" xfId="930" xr:uid="{00000000-0005-0000-0000-00003A1B0000}"/>
    <cellStyle name="Normal 5 4 5 2" xfId="3164" xr:uid="{00000000-0005-0000-0000-00003B1B0000}"/>
    <cellStyle name="Normal 5 4 5 2 2" xfId="7387" xr:uid="{00000000-0005-0000-0000-00003C1B0000}"/>
    <cellStyle name="Normal 5 4 5 2 2 2" xfId="15829" xr:uid="{2E5FA0CA-C14D-4F62-B369-2AF1FAC53184}"/>
    <cellStyle name="Normal 5 4 5 2 3" xfId="11611" xr:uid="{0AD1CB8B-4A87-4474-9F38-3BC11C55551C}"/>
    <cellStyle name="Normal 5 4 5 3" xfId="5242" xr:uid="{00000000-0005-0000-0000-00003D1B0000}"/>
    <cellStyle name="Normal 5 4 5 3 2" xfId="13684" xr:uid="{C64ED9CC-0B8A-427A-BD84-94572926EE70}"/>
    <cellStyle name="Normal 5 4 5 4" xfId="9466" xr:uid="{864FE5EF-3667-4A9F-9FA1-ED0761B21AE7}"/>
    <cellStyle name="Normal 5 4 6" xfId="1347" xr:uid="{00000000-0005-0000-0000-00003E1B0000}"/>
    <cellStyle name="Normal 5 4 6 2" xfId="3577" xr:uid="{00000000-0005-0000-0000-00003F1B0000}"/>
    <cellStyle name="Normal 5 4 6 2 2" xfId="7800" xr:uid="{00000000-0005-0000-0000-0000401B0000}"/>
    <cellStyle name="Normal 5 4 6 2 2 2" xfId="16242" xr:uid="{C33DDEFA-712F-43A4-9024-31B8DCB42E8E}"/>
    <cellStyle name="Normal 5 4 6 2 3" xfId="12024" xr:uid="{63AEBF84-4CC6-486D-9A2E-5EEE616CF9A5}"/>
    <cellStyle name="Normal 5 4 6 3" xfId="5655" xr:uid="{00000000-0005-0000-0000-0000411B0000}"/>
    <cellStyle name="Normal 5 4 6 3 2" xfId="14097" xr:uid="{2CCE63DF-7C51-49F2-A6C9-DE2761200EA1}"/>
    <cellStyle name="Normal 5 4 6 4" xfId="9879" xr:uid="{76AC7C6F-C2F4-40F0-B36E-2F4EE36F821E}"/>
    <cellStyle name="Normal 5 4 7" xfId="1760" xr:uid="{00000000-0005-0000-0000-0000421B0000}"/>
    <cellStyle name="Normal 5 4 7 2" xfId="3990" xr:uid="{00000000-0005-0000-0000-0000431B0000}"/>
    <cellStyle name="Normal 5 4 7 2 2" xfId="8213" xr:uid="{00000000-0005-0000-0000-0000441B0000}"/>
    <cellStyle name="Normal 5 4 7 2 2 2" xfId="16655" xr:uid="{1100AA60-D0A3-4C26-BF23-0DEF10422546}"/>
    <cellStyle name="Normal 5 4 7 2 3" xfId="12437" xr:uid="{6895C920-B17C-462D-A82F-0B3D8A0DDE06}"/>
    <cellStyle name="Normal 5 4 7 3" xfId="6068" xr:uid="{00000000-0005-0000-0000-0000451B0000}"/>
    <cellStyle name="Normal 5 4 7 3 2" xfId="14510" xr:uid="{69F3B375-E7E7-4D0D-9CE4-14497CE60E6F}"/>
    <cellStyle name="Normal 5 4 7 4" xfId="10292" xr:uid="{ED892A7D-B4D7-42B3-82F4-2EDBB9551CC0}"/>
    <cellStyle name="Normal 5 4 8" xfId="2174" xr:uid="{00000000-0005-0000-0000-0000461B0000}"/>
    <cellStyle name="Normal 5 4 8 2" xfId="4403" xr:uid="{00000000-0005-0000-0000-0000471B0000}"/>
    <cellStyle name="Normal 5 4 8 2 2" xfId="8626" xr:uid="{00000000-0005-0000-0000-0000481B0000}"/>
    <cellStyle name="Normal 5 4 8 2 2 2" xfId="17068" xr:uid="{25158BC2-A678-4AFC-B934-53C743E45C8D}"/>
    <cellStyle name="Normal 5 4 8 2 3" xfId="12850" xr:uid="{81F4B53B-9DD8-4516-8BEB-7AF25579F350}"/>
    <cellStyle name="Normal 5 4 8 3" xfId="6481" xr:uid="{00000000-0005-0000-0000-0000491B0000}"/>
    <cellStyle name="Normal 5 4 8 3 2" xfId="14923" xr:uid="{DBA086D2-D325-4898-810C-438017CE0556}"/>
    <cellStyle name="Normal 5 4 8 4" xfId="10705" xr:uid="{5BB8DC4A-2CE1-4940-B9EE-C29EA2CA4496}"/>
    <cellStyle name="Normal 5 4 9" xfId="2610" xr:uid="{00000000-0005-0000-0000-00004A1B0000}"/>
    <cellStyle name="Normal 5 4 9 2" xfId="6894" xr:uid="{00000000-0005-0000-0000-00004B1B0000}"/>
    <cellStyle name="Normal 5 4 9 2 2" xfId="15336" xr:uid="{37DB73B9-F10E-4710-B859-FC7CAB7C3A59}"/>
    <cellStyle name="Normal 5 4 9 3" xfId="11118" xr:uid="{3ECE355A-A14F-44D4-A306-F120A7FB4C0E}"/>
    <cellStyle name="Normal 5 5" xfId="464" xr:uid="{00000000-0005-0000-0000-00004C1B0000}"/>
    <cellStyle name="Normal 5 5 10" xfId="9061" xr:uid="{E9BB54BE-58E0-4774-9E3F-1C6F09223415}"/>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E0B3E265-99F0-4B2F-82E3-AB27975E134B}"/>
    <cellStyle name="Normal 5 5 2 2 2 2 3" xfId="11621" xr:uid="{99E05650-5679-4692-94AF-6C8C0203DA82}"/>
    <cellStyle name="Normal 5 5 2 2 2 3" xfId="5252" xr:uid="{00000000-0005-0000-0000-0000521B0000}"/>
    <cellStyle name="Normal 5 5 2 2 2 3 2" xfId="13694" xr:uid="{0CDC9A71-66A6-4815-AD13-77818BFC0523}"/>
    <cellStyle name="Normal 5 5 2 2 2 4" xfId="9476" xr:uid="{A8787A86-6AA6-4813-A87E-F873F9D6700D}"/>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355C913F-173B-4C7D-9FA1-B3CA074E27C8}"/>
    <cellStyle name="Normal 5 5 2 2 3 2 3" xfId="12034" xr:uid="{D07141DD-BA1F-42EF-B2B0-C0C53DB66A8A}"/>
    <cellStyle name="Normal 5 5 2 2 3 3" xfId="5665" xr:uid="{00000000-0005-0000-0000-0000561B0000}"/>
    <cellStyle name="Normal 5 5 2 2 3 3 2" xfId="14107" xr:uid="{29960F00-F03C-437A-846B-679C04560A15}"/>
    <cellStyle name="Normal 5 5 2 2 3 4" xfId="9889" xr:uid="{A5C08861-4836-4F57-94AA-44D5F778617F}"/>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5C7541EB-D8F8-4157-BCFC-D143A462218E}"/>
    <cellStyle name="Normal 5 5 2 2 4 2 3" xfId="12447" xr:uid="{149F268E-9ABC-4BC4-BC70-FB943BA41C5B}"/>
    <cellStyle name="Normal 5 5 2 2 4 3" xfId="6078" xr:uid="{00000000-0005-0000-0000-00005A1B0000}"/>
    <cellStyle name="Normal 5 5 2 2 4 3 2" xfId="14520" xr:uid="{1914A43F-9597-4FA8-BE5C-1F2EEFEC4A3D}"/>
    <cellStyle name="Normal 5 5 2 2 4 4" xfId="10302" xr:uid="{FB6DF282-AF9A-497A-AC4B-EE2032B00AB7}"/>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10895F32-9282-4F66-9D17-0B2E07651D94}"/>
    <cellStyle name="Normal 5 5 2 2 5 2 3" xfId="12860" xr:uid="{B96BB014-BEF8-482A-8688-4CA61E66FCCC}"/>
    <cellStyle name="Normal 5 5 2 2 5 3" xfId="6491" xr:uid="{00000000-0005-0000-0000-00005E1B0000}"/>
    <cellStyle name="Normal 5 5 2 2 5 3 2" xfId="14933" xr:uid="{A4663713-5E49-466C-A96F-8DEB36C43476}"/>
    <cellStyle name="Normal 5 5 2 2 5 4" xfId="10715" xr:uid="{8E6BACF2-2AA2-426E-96FC-4EAFEBAB1B66}"/>
    <cellStyle name="Normal 5 5 2 2 6" xfId="2620" xr:uid="{00000000-0005-0000-0000-00005F1B0000}"/>
    <cellStyle name="Normal 5 5 2 2 6 2" xfId="6904" xr:uid="{00000000-0005-0000-0000-0000601B0000}"/>
    <cellStyle name="Normal 5 5 2 2 6 2 2" xfId="15346" xr:uid="{95754D43-6FED-4C59-A2AE-1F0A648565A6}"/>
    <cellStyle name="Normal 5 5 2 2 6 3" xfId="11128" xr:uid="{457B5FE5-80D6-4DDF-B35D-F69E5A8CA62E}"/>
    <cellStyle name="Normal 5 5 2 2 7" xfId="4839" xr:uid="{00000000-0005-0000-0000-0000611B0000}"/>
    <cellStyle name="Normal 5 5 2 2 7 2" xfId="13281" xr:uid="{71E0FE00-AD83-41DB-BED2-0E5BA0E6FC26}"/>
    <cellStyle name="Normal 5 5 2 2 8" xfId="9063" xr:uid="{C7FE72B6-C03E-4FE7-B941-FCE2BEB8BF2E}"/>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C347B27F-3B78-423B-BCB3-EF460765B097}"/>
    <cellStyle name="Normal 5 5 2 3 2 3" xfId="11620" xr:uid="{479E3C4A-F3A3-4E78-8663-50A9793AC92E}"/>
    <cellStyle name="Normal 5 5 2 3 3" xfId="5251" xr:uid="{00000000-0005-0000-0000-0000651B0000}"/>
    <cellStyle name="Normal 5 5 2 3 3 2" xfId="13693" xr:uid="{BA8F429A-551A-42BD-A6B2-A32F6C15112B}"/>
    <cellStyle name="Normal 5 5 2 3 4" xfId="9475" xr:uid="{C9807492-4E98-4D50-B91E-F50E7C6EB67C}"/>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1E01175E-6C24-42E0-BD69-0360C96B0850}"/>
    <cellStyle name="Normal 5 5 2 4 2 3" xfId="12033" xr:uid="{9F4853F6-2544-444A-AD38-87452B1187F3}"/>
    <cellStyle name="Normal 5 5 2 4 3" xfId="5664" xr:uid="{00000000-0005-0000-0000-0000691B0000}"/>
    <cellStyle name="Normal 5 5 2 4 3 2" xfId="14106" xr:uid="{A82C6BEE-8BAC-4200-B023-D442EC5A1086}"/>
    <cellStyle name="Normal 5 5 2 4 4" xfId="9888" xr:uid="{3F04BE90-C85D-420D-9BB6-139421DF6B95}"/>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9F1D1F2F-5B96-4DA9-9144-2FE316B9E1CF}"/>
    <cellStyle name="Normal 5 5 2 5 2 3" xfId="12446" xr:uid="{155D31EE-BCA6-407F-BDD7-574EBAC1ED63}"/>
    <cellStyle name="Normal 5 5 2 5 3" xfId="6077" xr:uid="{00000000-0005-0000-0000-00006D1B0000}"/>
    <cellStyle name="Normal 5 5 2 5 3 2" xfId="14519" xr:uid="{1D6BF025-4846-491A-A4FE-A02386431392}"/>
    <cellStyle name="Normal 5 5 2 5 4" xfId="10301" xr:uid="{6C0B0E14-F381-49F5-88EC-73D30A32F593}"/>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F1E35D93-CFC6-4818-84A3-06F9216F36B2}"/>
    <cellStyle name="Normal 5 5 2 6 2 3" xfId="12859" xr:uid="{49865A05-D087-45DA-A9CE-4A378BFA19BC}"/>
    <cellStyle name="Normal 5 5 2 6 3" xfId="6490" xr:uid="{00000000-0005-0000-0000-0000711B0000}"/>
    <cellStyle name="Normal 5 5 2 6 3 2" xfId="14932" xr:uid="{5B40D8B9-541D-4FAA-A7FF-6FA21C4F39F1}"/>
    <cellStyle name="Normal 5 5 2 6 4" xfId="10714" xr:uid="{F68CBEB0-0727-486C-8D30-2EB688216B45}"/>
    <cellStyle name="Normal 5 5 2 7" xfId="2619" xr:uid="{00000000-0005-0000-0000-0000721B0000}"/>
    <cellStyle name="Normal 5 5 2 7 2" xfId="6903" xr:uid="{00000000-0005-0000-0000-0000731B0000}"/>
    <cellStyle name="Normal 5 5 2 7 2 2" xfId="15345" xr:uid="{E7B1A3B1-87E8-479F-8D2B-F680867E2327}"/>
    <cellStyle name="Normal 5 5 2 7 3" xfId="11127" xr:uid="{44B333B0-A90C-43CD-8E3F-966E04108F8E}"/>
    <cellStyle name="Normal 5 5 2 8" xfId="4838" xr:uid="{00000000-0005-0000-0000-0000741B0000}"/>
    <cellStyle name="Normal 5 5 2 8 2" xfId="13280" xr:uid="{D44B1F6A-2800-412B-B6A5-35133260BDA9}"/>
    <cellStyle name="Normal 5 5 2 9" xfId="9062" xr:uid="{5FBA1B14-C8DE-4C0F-833A-A13056871049}"/>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8F5FBE2E-51F4-4435-8E10-CE6D50F8BBF8}"/>
    <cellStyle name="Normal 5 5 3 2 2 3" xfId="11622" xr:uid="{ED564D90-D2B5-40E2-B8A4-D68FF5D8EAED}"/>
    <cellStyle name="Normal 5 5 3 2 3" xfId="5253" xr:uid="{00000000-0005-0000-0000-0000791B0000}"/>
    <cellStyle name="Normal 5 5 3 2 3 2" xfId="13695" xr:uid="{6325B097-23EC-4B14-86E3-73FD9D17DA01}"/>
    <cellStyle name="Normal 5 5 3 2 4" xfId="9477" xr:uid="{2AE2584E-5171-4DD1-9F64-82E0B992AEC4}"/>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BC268252-4745-4A18-A534-571CB0189B18}"/>
    <cellStyle name="Normal 5 5 3 3 2 3" xfId="12035" xr:uid="{C4982E7F-C424-41D7-8DAA-124EDA3ACDC1}"/>
    <cellStyle name="Normal 5 5 3 3 3" xfId="5666" xr:uid="{00000000-0005-0000-0000-00007D1B0000}"/>
    <cellStyle name="Normal 5 5 3 3 3 2" xfId="14108" xr:uid="{410E0E9E-725A-494F-8AE8-3264A69526AF}"/>
    <cellStyle name="Normal 5 5 3 3 4" xfId="9890" xr:uid="{123E2CA7-BA4E-4BD0-BF17-8B5DAF8463AE}"/>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3133CC7A-8CBF-4431-ACAD-181D19E27226}"/>
    <cellStyle name="Normal 5 5 3 4 2 3" xfId="12448" xr:uid="{E4C8B21C-74F0-498E-9E11-AA5236790CA6}"/>
    <cellStyle name="Normal 5 5 3 4 3" xfId="6079" xr:uid="{00000000-0005-0000-0000-0000811B0000}"/>
    <cellStyle name="Normal 5 5 3 4 3 2" xfId="14521" xr:uid="{5A124CA8-D92C-4A28-B466-3C8F169782CA}"/>
    <cellStyle name="Normal 5 5 3 4 4" xfId="10303" xr:uid="{ACFD7BAF-DB42-43CD-B478-A748696B75B5}"/>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5A41BE23-7427-4558-83AF-F6D50A0B3059}"/>
    <cellStyle name="Normal 5 5 3 5 2 3" xfId="12861" xr:uid="{43D95A5B-0EA6-40E3-88F4-5FDE8E3FEE89}"/>
    <cellStyle name="Normal 5 5 3 5 3" xfId="6492" xr:uid="{00000000-0005-0000-0000-0000851B0000}"/>
    <cellStyle name="Normal 5 5 3 5 3 2" xfId="14934" xr:uid="{8BFB479E-949D-41E4-B1EE-EB6224AEA801}"/>
    <cellStyle name="Normal 5 5 3 5 4" xfId="10716" xr:uid="{001DEBC7-28EE-4DF8-AF36-DF007ECC5F07}"/>
    <cellStyle name="Normal 5 5 3 6" xfId="2621" xr:uid="{00000000-0005-0000-0000-0000861B0000}"/>
    <cellStyle name="Normal 5 5 3 6 2" xfId="6905" xr:uid="{00000000-0005-0000-0000-0000871B0000}"/>
    <cellStyle name="Normal 5 5 3 6 2 2" xfId="15347" xr:uid="{B585FE92-EF5A-4E7E-93E6-C134DF9040FA}"/>
    <cellStyle name="Normal 5 5 3 6 3" xfId="11129" xr:uid="{082C3B0E-BF70-4894-B777-918DC8EEC5D6}"/>
    <cellStyle name="Normal 5 5 3 7" xfId="4840" xr:uid="{00000000-0005-0000-0000-0000881B0000}"/>
    <cellStyle name="Normal 5 5 3 7 2" xfId="13282" xr:uid="{A8A0EE83-9E4F-41F9-BC83-C7DD8B922EF7}"/>
    <cellStyle name="Normal 5 5 3 8" xfId="9064" xr:uid="{CE651239-A054-473E-B95E-F4F7D84B70D9}"/>
    <cellStyle name="Normal 5 5 4" xfId="938" xr:uid="{00000000-0005-0000-0000-0000891B0000}"/>
    <cellStyle name="Normal 5 5 4 2" xfId="3172" xr:uid="{00000000-0005-0000-0000-00008A1B0000}"/>
    <cellStyle name="Normal 5 5 4 2 2" xfId="7395" xr:uid="{00000000-0005-0000-0000-00008B1B0000}"/>
    <cellStyle name="Normal 5 5 4 2 2 2" xfId="15837" xr:uid="{151B0E14-FA78-4310-8D62-3201FF776D10}"/>
    <cellStyle name="Normal 5 5 4 2 3" xfId="11619" xr:uid="{C5861D93-91D9-4F3C-BBAB-5EA92792DC20}"/>
    <cellStyle name="Normal 5 5 4 3" xfId="5250" xr:uid="{00000000-0005-0000-0000-00008C1B0000}"/>
    <cellStyle name="Normal 5 5 4 3 2" xfId="13692" xr:uid="{CA3C1D7F-E365-4879-B819-7DDEDDFA3CAD}"/>
    <cellStyle name="Normal 5 5 4 4" xfId="9474" xr:uid="{2218AE01-F5D5-49E0-9103-60836C9B9F7D}"/>
    <cellStyle name="Normal 5 5 5" xfId="1355" xr:uid="{00000000-0005-0000-0000-00008D1B0000}"/>
    <cellStyle name="Normal 5 5 5 2" xfId="3585" xr:uid="{00000000-0005-0000-0000-00008E1B0000}"/>
    <cellStyle name="Normal 5 5 5 2 2" xfId="7808" xr:uid="{00000000-0005-0000-0000-00008F1B0000}"/>
    <cellStyle name="Normal 5 5 5 2 2 2" xfId="16250" xr:uid="{5AFF114D-0C3F-4E19-8503-7169BEB7CE9F}"/>
    <cellStyle name="Normal 5 5 5 2 3" xfId="12032" xr:uid="{98547C27-2CE0-4F47-92CD-521F88661AA0}"/>
    <cellStyle name="Normal 5 5 5 3" xfId="5663" xr:uid="{00000000-0005-0000-0000-0000901B0000}"/>
    <cellStyle name="Normal 5 5 5 3 2" xfId="14105" xr:uid="{F2C79EBF-56F4-4036-9E3E-1B61B37216E9}"/>
    <cellStyle name="Normal 5 5 5 4" xfId="9887" xr:uid="{4EE07251-8295-4988-9DC5-C5D46DCD8627}"/>
    <cellStyle name="Normal 5 5 6" xfId="1768" xr:uid="{00000000-0005-0000-0000-0000911B0000}"/>
    <cellStyle name="Normal 5 5 6 2" xfId="3998" xr:uid="{00000000-0005-0000-0000-0000921B0000}"/>
    <cellStyle name="Normal 5 5 6 2 2" xfId="8221" xr:uid="{00000000-0005-0000-0000-0000931B0000}"/>
    <cellStyle name="Normal 5 5 6 2 2 2" xfId="16663" xr:uid="{30838A62-BAC1-41CF-ACCD-8ADABFF0B582}"/>
    <cellStyle name="Normal 5 5 6 2 3" xfId="12445" xr:uid="{38810F94-EC16-45C5-8826-775619A74D87}"/>
    <cellStyle name="Normal 5 5 6 3" xfId="6076" xr:uid="{00000000-0005-0000-0000-0000941B0000}"/>
    <cellStyle name="Normal 5 5 6 3 2" xfId="14518" xr:uid="{5E2423BC-1384-4CDF-8F7F-18F6104C3FB7}"/>
    <cellStyle name="Normal 5 5 6 4" xfId="10300" xr:uid="{CF4FB28E-3FA4-452C-B17C-CEDDD9B912AA}"/>
    <cellStyle name="Normal 5 5 7" xfId="2182" xr:uid="{00000000-0005-0000-0000-0000951B0000}"/>
    <cellStyle name="Normal 5 5 7 2" xfId="4411" xr:uid="{00000000-0005-0000-0000-0000961B0000}"/>
    <cellStyle name="Normal 5 5 7 2 2" xfId="8634" xr:uid="{00000000-0005-0000-0000-0000971B0000}"/>
    <cellStyle name="Normal 5 5 7 2 2 2" xfId="17076" xr:uid="{C79B9252-0D34-4A2A-90C7-406C9FFA1043}"/>
    <cellStyle name="Normal 5 5 7 2 3" xfId="12858" xr:uid="{7E3A149A-5FCB-4620-99B2-D19A0555A4B1}"/>
    <cellStyle name="Normal 5 5 7 3" xfId="6489" xr:uid="{00000000-0005-0000-0000-0000981B0000}"/>
    <cellStyle name="Normal 5 5 7 3 2" xfId="14931" xr:uid="{FBA9F5B2-A5BF-4873-B819-D58B414FABD2}"/>
    <cellStyle name="Normal 5 5 7 4" xfId="10713" xr:uid="{5EA122D9-E194-4CD3-A0A1-61A11AC95CE9}"/>
    <cellStyle name="Normal 5 5 8" xfId="2618" xr:uid="{00000000-0005-0000-0000-0000991B0000}"/>
    <cellStyle name="Normal 5 5 8 2" xfId="6902" xr:uid="{00000000-0005-0000-0000-00009A1B0000}"/>
    <cellStyle name="Normal 5 5 8 2 2" xfId="15344" xr:uid="{30565F28-F71D-4EB0-B414-B1BE8572FDEF}"/>
    <cellStyle name="Normal 5 5 8 3" xfId="11126" xr:uid="{553C819A-44D7-4D9B-AC60-8689596D0A27}"/>
    <cellStyle name="Normal 5 5 9" xfId="4837" xr:uid="{00000000-0005-0000-0000-00009B1B0000}"/>
    <cellStyle name="Normal 5 5 9 2" xfId="13279" xr:uid="{8B541DA5-0273-4C06-95B7-353932E1FB96}"/>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0A32CF4B-7F71-451A-9E1E-0C9FEE2DA7A0}"/>
    <cellStyle name="Normal 5 6 2 2 2 3" xfId="11624" xr:uid="{43EA0FDE-1446-4C75-9C13-721FA505BAE2}"/>
    <cellStyle name="Normal 5 6 2 2 3" xfId="5255" xr:uid="{00000000-0005-0000-0000-0000A11B0000}"/>
    <cellStyle name="Normal 5 6 2 2 3 2" xfId="13697" xr:uid="{3FF4F5E2-A4C4-43AC-ACA2-B43286D38FAF}"/>
    <cellStyle name="Normal 5 6 2 2 4" xfId="9479" xr:uid="{23EAAB8E-0E0D-459D-8E2C-6E627AA98A33}"/>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89E3A006-6436-47A2-83C6-E2F41205D0DE}"/>
    <cellStyle name="Normal 5 6 2 3 2 3" xfId="12037" xr:uid="{0CF2D0E3-17A7-4B14-B126-A37EE34D6A5B}"/>
    <cellStyle name="Normal 5 6 2 3 3" xfId="5668" xr:uid="{00000000-0005-0000-0000-0000A51B0000}"/>
    <cellStyle name="Normal 5 6 2 3 3 2" xfId="14110" xr:uid="{30707EBE-4A3B-4661-BDFB-5EDF3C84A081}"/>
    <cellStyle name="Normal 5 6 2 3 4" xfId="9892" xr:uid="{4072678C-C5E5-4148-B971-78DE0331E70E}"/>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9115B052-580F-4FB9-8A5F-2DA8301D3386}"/>
    <cellStyle name="Normal 5 6 2 4 2 3" xfId="12450" xr:uid="{F29B2A87-42A7-4FAF-89BD-AFA57F77C867}"/>
    <cellStyle name="Normal 5 6 2 4 3" xfId="6081" xr:uid="{00000000-0005-0000-0000-0000A91B0000}"/>
    <cellStyle name="Normal 5 6 2 4 3 2" xfId="14523" xr:uid="{E8C74D25-B393-467B-A38A-CB5E448C85EA}"/>
    <cellStyle name="Normal 5 6 2 4 4" xfId="10305" xr:uid="{FFD688DE-668D-47A9-A2CB-805EB0060A3E}"/>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3AB5838B-B7F0-4537-B021-00073698D60C}"/>
    <cellStyle name="Normal 5 6 2 5 2 3" xfId="12863" xr:uid="{69807309-12B4-43C9-952E-680DBC0BDA67}"/>
    <cellStyle name="Normal 5 6 2 5 3" xfId="6494" xr:uid="{00000000-0005-0000-0000-0000AD1B0000}"/>
    <cellStyle name="Normal 5 6 2 5 3 2" xfId="14936" xr:uid="{8C75CA79-0527-477C-9032-A2D418CE168E}"/>
    <cellStyle name="Normal 5 6 2 5 4" xfId="10718" xr:uid="{3D490CEE-6430-4C6E-AC42-81F6C9C3A10B}"/>
    <cellStyle name="Normal 5 6 2 6" xfId="2623" xr:uid="{00000000-0005-0000-0000-0000AE1B0000}"/>
    <cellStyle name="Normal 5 6 2 6 2" xfId="6907" xr:uid="{00000000-0005-0000-0000-0000AF1B0000}"/>
    <cellStyle name="Normal 5 6 2 6 2 2" xfId="15349" xr:uid="{04DD4B57-38BB-4153-BBF5-DB6A7395175C}"/>
    <cellStyle name="Normal 5 6 2 6 3" xfId="11131" xr:uid="{253A6702-24BB-42EF-9576-0ACA9691D397}"/>
    <cellStyle name="Normal 5 6 2 7" xfId="4842" xr:uid="{00000000-0005-0000-0000-0000B01B0000}"/>
    <cellStyle name="Normal 5 6 2 7 2" xfId="13284" xr:uid="{E174E196-67E0-4C7A-B489-831E58891B94}"/>
    <cellStyle name="Normal 5 6 2 8" xfId="9066" xr:uid="{79A626C6-68AF-48CA-B741-863F96AE8408}"/>
    <cellStyle name="Normal 5 6 3" xfId="942" xr:uid="{00000000-0005-0000-0000-0000B11B0000}"/>
    <cellStyle name="Normal 5 6 3 2" xfId="3176" xr:uid="{00000000-0005-0000-0000-0000B21B0000}"/>
    <cellStyle name="Normal 5 6 3 2 2" xfId="7399" xr:uid="{00000000-0005-0000-0000-0000B31B0000}"/>
    <cellStyle name="Normal 5 6 3 2 2 2" xfId="15841" xr:uid="{D6501C7D-4876-4DEF-804F-6467B6277F9F}"/>
    <cellStyle name="Normal 5 6 3 2 3" xfId="11623" xr:uid="{CE6E324C-D8DA-4179-8E12-4D44E25DBF20}"/>
    <cellStyle name="Normal 5 6 3 3" xfId="5254" xr:uid="{00000000-0005-0000-0000-0000B41B0000}"/>
    <cellStyle name="Normal 5 6 3 3 2" xfId="13696" xr:uid="{ACEB102E-918B-492B-BEE3-E7DF39813050}"/>
    <cellStyle name="Normal 5 6 3 4" xfId="9478" xr:uid="{66EA5F0A-94DA-4F2E-8C4B-5173022C4B87}"/>
    <cellStyle name="Normal 5 6 4" xfId="1359" xr:uid="{00000000-0005-0000-0000-0000B51B0000}"/>
    <cellStyle name="Normal 5 6 4 2" xfId="3589" xr:uid="{00000000-0005-0000-0000-0000B61B0000}"/>
    <cellStyle name="Normal 5 6 4 2 2" xfId="7812" xr:uid="{00000000-0005-0000-0000-0000B71B0000}"/>
    <cellStyle name="Normal 5 6 4 2 2 2" xfId="16254" xr:uid="{BF14A048-1720-4F50-A555-74BF568B7609}"/>
    <cellStyle name="Normal 5 6 4 2 3" xfId="12036" xr:uid="{5443C6F5-5B6F-415B-8290-0026C9CFDF68}"/>
    <cellStyle name="Normal 5 6 4 3" xfId="5667" xr:uid="{00000000-0005-0000-0000-0000B81B0000}"/>
    <cellStyle name="Normal 5 6 4 3 2" xfId="14109" xr:uid="{9FE1CA10-FE40-463B-812D-34E29E41C966}"/>
    <cellStyle name="Normal 5 6 4 4" xfId="9891" xr:uid="{D008B74F-6196-4B2A-86EB-79C5C1E6DF23}"/>
    <cellStyle name="Normal 5 6 5" xfId="1772" xr:uid="{00000000-0005-0000-0000-0000B91B0000}"/>
    <cellStyle name="Normal 5 6 5 2" xfId="4002" xr:uid="{00000000-0005-0000-0000-0000BA1B0000}"/>
    <cellStyle name="Normal 5 6 5 2 2" xfId="8225" xr:uid="{00000000-0005-0000-0000-0000BB1B0000}"/>
    <cellStyle name="Normal 5 6 5 2 2 2" xfId="16667" xr:uid="{9719BA25-546D-4776-B384-CEA84749E5B0}"/>
    <cellStyle name="Normal 5 6 5 2 3" xfId="12449" xr:uid="{1571A4D9-B286-46F7-9995-DC449CA14FB6}"/>
    <cellStyle name="Normal 5 6 5 3" xfId="6080" xr:uid="{00000000-0005-0000-0000-0000BC1B0000}"/>
    <cellStyle name="Normal 5 6 5 3 2" xfId="14522" xr:uid="{C5E948D4-0E2D-4471-851A-267BFF39398D}"/>
    <cellStyle name="Normal 5 6 5 4" xfId="10304" xr:uid="{D3D1408F-87B9-4E90-B309-26E7E0876606}"/>
    <cellStyle name="Normal 5 6 6" xfId="2186" xr:uid="{00000000-0005-0000-0000-0000BD1B0000}"/>
    <cellStyle name="Normal 5 6 6 2" xfId="4415" xr:uid="{00000000-0005-0000-0000-0000BE1B0000}"/>
    <cellStyle name="Normal 5 6 6 2 2" xfId="8638" xr:uid="{00000000-0005-0000-0000-0000BF1B0000}"/>
    <cellStyle name="Normal 5 6 6 2 2 2" xfId="17080" xr:uid="{6379670B-E329-4CA7-B348-B1A9D51EE5CB}"/>
    <cellStyle name="Normal 5 6 6 2 3" xfId="12862" xr:uid="{F1081C97-1C52-46E4-9112-037F36663276}"/>
    <cellStyle name="Normal 5 6 6 3" xfId="6493" xr:uid="{00000000-0005-0000-0000-0000C01B0000}"/>
    <cellStyle name="Normal 5 6 6 3 2" xfId="14935" xr:uid="{13896B47-CFC2-4BC7-A9F1-D11A7030671E}"/>
    <cellStyle name="Normal 5 6 6 4" xfId="10717" xr:uid="{8AB70563-357E-4EDF-83A8-58FEE7AE519F}"/>
    <cellStyle name="Normal 5 6 7" xfId="2622" xr:uid="{00000000-0005-0000-0000-0000C11B0000}"/>
    <cellStyle name="Normal 5 6 7 2" xfId="6906" xr:uid="{00000000-0005-0000-0000-0000C21B0000}"/>
    <cellStyle name="Normal 5 6 7 2 2" xfId="15348" xr:uid="{CA7BD2D9-725F-42C5-8984-B095C5C796C3}"/>
    <cellStyle name="Normal 5 6 7 3" xfId="11130" xr:uid="{51E8DBC1-EED1-4A9B-A9C1-B35A6D287513}"/>
    <cellStyle name="Normal 5 6 8" xfId="4841" xr:uid="{00000000-0005-0000-0000-0000C31B0000}"/>
    <cellStyle name="Normal 5 6 8 2" xfId="13283" xr:uid="{300E92B0-756F-41A0-9C31-F8581638B6EB}"/>
    <cellStyle name="Normal 5 6 9" xfId="9065" xr:uid="{57322F42-9E52-4A64-93DF-895C2E3F07A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55EFFE31-930D-417D-B57D-D32648655FCB}"/>
    <cellStyle name="Normal 5 7 2 2 3" xfId="11625" xr:uid="{3140A4FA-1D51-4980-87A3-D0958E03B51F}"/>
    <cellStyle name="Normal 5 7 2 3" xfId="5256" xr:uid="{00000000-0005-0000-0000-0000C81B0000}"/>
    <cellStyle name="Normal 5 7 2 3 2" xfId="13698" xr:uid="{A4A512EF-CCDA-4CE0-A840-6B81B77563C4}"/>
    <cellStyle name="Normal 5 7 2 4" xfId="9480" xr:uid="{6DAC1060-96E7-4FA9-A77D-48EBE8D7D9EB}"/>
    <cellStyle name="Normal 5 7 3" xfId="1361" xr:uid="{00000000-0005-0000-0000-0000C91B0000}"/>
    <cellStyle name="Normal 5 7 3 2" xfId="3591" xr:uid="{00000000-0005-0000-0000-0000CA1B0000}"/>
    <cellStyle name="Normal 5 7 3 2 2" xfId="7814" xr:uid="{00000000-0005-0000-0000-0000CB1B0000}"/>
    <cellStyle name="Normal 5 7 3 2 2 2" xfId="16256" xr:uid="{C612F162-51F7-4694-84F3-E22DBC6B1DB5}"/>
    <cellStyle name="Normal 5 7 3 2 3" xfId="12038" xr:uid="{96E40673-F3E5-43AD-9D77-A22D7583C10F}"/>
    <cellStyle name="Normal 5 7 3 3" xfId="5669" xr:uid="{00000000-0005-0000-0000-0000CC1B0000}"/>
    <cellStyle name="Normal 5 7 3 3 2" xfId="14111" xr:uid="{AD401ABC-4567-4A41-90FC-23ADBBB32EAD}"/>
    <cellStyle name="Normal 5 7 3 4" xfId="9893" xr:uid="{47BC91A3-51BE-4CB9-9E3F-33AB811F2C29}"/>
    <cellStyle name="Normal 5 7 4" xfId="1774" xr:uid="{00000000-0005-0000-0000-0000CD1B0000}"/>
    <cellStyle name="Normal 5 7 4 2" xfId="4004" xr:uid="{00000000-0005-0000-0000-0000CE1B0000}"/>
    <cellStyle name="Normal 5 7 4 2 2" xfId="8227" xr:uid="{00000000-0005-0000-0000-0000CF1B0000}"/>
    <cellStyle name="Normal 5 7 4 2 2 2" xfId="16669" xr:uid="{0F14D67A-0E50-4029-A360-0B3F48C48C46}"/>
    <cellStyle name="Normal 5 7 4 2 3" xfId="12451" xr:uid="{36255CCE-CBC1-4867-9ADD-C52B732B8650}"/>
    <cellStyle name="Normal 5 7 4 3" xfId="6082" xr:uid="{00000000-0005-0000-0000-0000D01B0000}"/>
    <cellStyle name="Normal 5 7 4 3 2" xfId="14524" xr:uid="{3EE1E2DA-950B-49DF-857C-B2315D72C1AE}"/>
    <cellStyle name="Normal 5 7 4 4" xfId="10306" xr:uid="{3A321DD5-9F18-46B4-8E12-9A13EA477741}"/>
    <cellStyle name="Normal 5 7 5" xfId="2188" xr:uid="{00000000-0005-0000-0000-0000D11B0000}"/>
    <cellStyle name="Normal 5 7 5 2" xfId="4417" xr:uid="{00000000-0005-0000-0000-0000D21B0000}"/>
    <cellStyle name="Normal 5 7 5 2 2" xfId="8640" xr:uid="{00000000-0005-0000-0000-0000D31B0000}"/>
    <cellStyle name="Normal 5 7 5 2 2 2" xfId="17082" xr:uid="{485B390F-5DB5-446C-9575-10D1D82A8AE9}"/>
    <cellStyle name="Normal 5 7 5 2 3" xfId="12864" xr:uid="{0BBCBA92-15DF-4FE0-A854-A294345582EB}"/>
    <cellStyle name="Normal 5 7 5 3" xfId="6495" xr:uid="{00000000-0005-0000-0000-0000D41B0000}"/>
    <cellStyle name="Normal 5 7 5 3 2" xfId="14937" xr:uid="{F80AD2BA-3174-4B99-8190-F93B6D742883}"/>
    <cellStyle name="Normal 5 7 5 4" xfId="10719" xr:uid="{A8873D34-C2AE-4E3F-B01D-3CFFBFADDF4A}"/>
    <cellStyle name="Normal 5 7 6" xfId="2624" xr:uid="{00000000-0005-0000-0000-0000D51B0000}"/>
    <cellStyle name="Normal 5 7 6 2" xfId="6908" xr:uid="{00000000-0005-0000-0000-0000D61B0000}"/>
    <cellStyle name="Normal 5 7 6 2 2" xfId="15350" xr:uid="{E504DDE1-FA3C-436E-BBC2-FC49557EE4F4}"/>
    <cellStyle name="Normal 5 7 6 3" xfId="11132" xr:uid="{60D79CD5-06EA-4031-84EF-C1A28926E739}"/>
    <cellStyle name="Normal 5 7 7" xfId="4843" xr:uid="{00000000-0005-0000-0000-0000D71B0000}"/>
    <cellStyle name="Normal 5 7 7 2" xfId="13285" xr:uid="{9C218D9B-7D52-4B6B-B4F6-B794E29B9516}"/>
    <cellStyle name="Normal 5 7 8" xfId="9067" xr:uid="{3E9F5888-7314-4982-9E3B-5524C5B3369E}"/>
    <cellStyle name="Normal 5 8" xfId="880" xr:uid="{00000000-0005-0000-0000-0000D81B0000}"/>
    <cellStyle name="Normal 5 8 2" xfId="3115" xr:uid="{00000000-0005-0000-0000-0000D91B0000}"/>
    <cellStyle name="Normal 5 8 2 2" xfId="7338" xr:uid="{00000000-0005-0000-0000-0000DA1B0000}"/>
    <cellStyle name="Normal 5 8 2 2 2" xfId="15780" xr:uid="{47DF917F-65A8-4AFA-9CD5-F248D0195AD9}"/>
    <cellStyle name="Normal 5 8 2 3" xfId="11562" xr:uid="{CB220128-2529-4A10-B54B-E1B114D903E4}"/>
    <cellStyle name="Normal 5 8 3" xfId="5193" xr:uid="{00000000-0005-0000-0000-0000DB1B0000}"/>
    <cellStyle name="Normal 5 8 3 2" xfId="13635" xr:uid="{7141B9A7-5764-41E9-B424-AEF0B82B1395}"/>
    <cellStyle name="Normal 5 8 4" xfId="9417" xr:uid="{F80D9DED-E084-4536-B838-9B5BF4B8614F}"/>
    <cellStyle name="Normal 5 9" xfId="1298" xr:uid="{00000000-0005-0000-0000-0000DC1B0000}"/>
    <cellStyle name="Normal 5 9 2" xfId="3528" xr:uid="{00000000-0005-0000-0000-0000DD1B0000}"/>
    <cellStyle name="Normal 5 9 2 2" xfId="7751" xr:uid="{00000000-0005-0000-0000-0000DE1B0000}"/>
    <cellStyle name="Normal 5 9 2 2 2" xfId="16193" xr:uid="{ED731ED1-FC49-48FD-B452-B3AB0411B0C1}"/>
    <cellStyle name="Normal 5 9 2 3" xfId="11975" xr:uid="{60AC6B92-25E6-4E93-9FB1-2CB8DD4F38D6}"/>
    <cellStyle name="Normal 5 9 3" xfId="5606" xr:uid="{00000000-0005-0000-0000-0000DF1B0000}"/>
    <cellStyle name="Normal 5 9 3 2" xfId="14048" xr:uid="{ED2ADBDF-F348-4AF0-8C27-77A5D8145973}"/>
    <cellStyle name="Normal 5 9 4" xfId="9830" xr:uid="{87BBA702-B78A-4AED-8B93-5329F5ED7419}"/>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1D6E5930-19A3-41B6-AC41-7AD170F94FAF}"/>
    <cellStyle name="Normal 8 10 2 3" xfId="12865" xr:uid="{3406B039-D12E-4D54-87AD-3D78F7FCF1D3}"/>
    <cellStyle name="Normal 8 10 3" xfId="6496" xr:uid="{00000000-0005-0000-0000-0000EB1B0000}"/>
    <cellStyle name="Normal 8 10 3 2" xfId="14938" xr:uid="{00EE6516-67AA-4DB0-BCC8-462FD764FAA8}"/>
    <cellStyle name="Normal 8 10 4" xfId="10720" xr:uid="{26E9DD76-E112-4DD7-A328-73EFE4AFA66D}"/>
    <cellStyle name="Normal 8 11" xfId="2625" xr:uid="{00000000-0005-0000-0000-0000EC1B0000}"/>
    <cellStyle name="Normal 8 11 2" xfId="6909" xr:uid="{00000000-0005-0000-0000-0000ED1B0000}"/>
    <cellStyle name="Normal 8 11 2 2" xfId="15351" xr:uid="{CFCC2EB0-57A7-499B-B6C5-A4517DAF3925}"/>
    <cellStyle name="Normal 8 11 3" xfId="11133" xr:uid="{92261627-A46B-40AE-8DB7-E25FF8A590B7}"/>
    <cellStyle name="Normal 8 12" xfId="4844" xr:uid="{00000000-0005-0000-0000-0000EE1B0000}"/>
    <cellStyle name="Normal 8 12 2" xfId="13286" xr:uid="{68A67D55-A437-430B-BCC1-C6A349C81FED}"/>
    <cellStyle name="Normal 8 13" xfId="9068" xr:uid="{7C4A3981-1743-4191-B945-A3A3C62F325E}"/>
    <cellStyle name="Normal 8 2" xfId="479" xr:uid="{00000000-0005-0000-0000-0000EF1B0000}"/>
    <cellStyle name="Normal 8 2 10" xfId="2626" xr:uid="{00000000-0005-0000-0000-0000F01B0000}"/>
    <cellStyle name="Normal 8 2 10 2" xfId="6910" xr:uid="{00000000-0005-0000-0000-0000F11B0000}"/>
    <cellStyle name="Normal 8 2 10 2 2" xfId="15352" xr:uid="{19A97A2E-DBA5-4394-8E14-95F2F31DD071}"/>
    <cellStyle name="Normal 8 2 10 3" xfId="11134" xr:uid="{2EB59F35-CA51-4093-B7EB-268262E9B3AD}"/>
    <cellStyle name="Normal 8 2 11" xfId="4845" xr:uid="{00000000-0005-0000-0000-0000F21B0000}"/>
    <cellStyle name="Normal 8 2 11 2" xfId="13287" xr:uid="{CA6B01ED-7972-4B8D-8C2D-42DD70DE24C3}"/>
    <cellStyle name="Normal 8 2 12" xfId="9069" xr:uid="{72ADCADC-07F5-4006-82FE-3703AC8312EB}"/>
    <cellStyle name="Normal 8 2 2" xfId="480" xr:uid="{00000000-0005-0000-0000-0000F31B0000}"/>
    <cellStyle name="Normal 8 2 2 10" xfId="4846" xr:uid="{00000000-0005-0000-0000-0000F41B0000}"/>
    <cellStyle name="Normal 8 2 2 10 2" xfId="13288" xr:uid="{18BD269D-4C7B-4E03-98B0-3739D89E5391}"/>
    <cellStyle name="Normal 8 2 2 11" xfId="9070" xr:uid="{6561A580-2054-4C2F-98B4-BB835F4F7951}"/>
    <cellStyle name="Normal 8 2 2 2" xfId="481" xr:uid="{00000000-0005-0000-0000-0000F51B0000}"/>
    <cellStyle name="Normal 8 2 2 2 10" xfId="9071" xr:uid="{0AFCAACA-6EC3-41C8-B83B-C55791E1437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7762AE72-BD23-4AAA-ABFB-CACD4420E8F3}"/>
    <cellStyle name="Normal 8 2 2 2 2 2 2 2 3" xfId="11631" xr:uid="{961FE39A-E3D8-444D-939E-3E6D9D7763B0}"/>
    <cellStyle name="Normal 8 2 2 2 2 2 2 3" xfId="5262" xr:uid="{00000000-0005-0000-0000-0000FB1B0000}"/>
    <cellStyle name="Normal 8 2 2 2 2 2 2 3 2" xfId="13704" xr:uid="{D5B18798-65E0-4293-8FCE-58513B959EB4}"/>
    <cellStyle name="Normal 8 2 2 2 2 2 2 4" xfId="9486" xr:uid="{0868224E-7B5B-4492-ADEA-3018D545EAF2}"/>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4DC15C03-D463-4295-B2C1-7F569B125520}"/>
    <cellStyle name="Normal 8 2 2 2 2 2 3 2 3" xfId="12044" xr:uid="{5A1C1932-C7AF-4488-9759-9B082E178303}"/>
    <cellStyle name="Normal 8 2 2 2 2 2 3 3" xfId="5675" xr:uid="{00000000-0005-0000-0000-0000FF1B0000}"/>
    <cellStyle name="Normal 8 2 2 2 2 2 3 3 2" xfId="14117" xr:uid="{2E08518B-98D5-4400-A5CF-6721101672F4}"/>
    <cellStyle name="Normal 8 2 2 2 2 2 3 4" xfId="9899" xr:uid="{A87411FD-F467-42CD-AF48-F62892BA1083}"/>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23302300-679F-4876-B907-558F99DC8DB4}"/>
    <cellStyle name="Normal 8 2 2 2 2 2 4 2 3" xfId="12457" xr:uid="{B569302F-3FF2-4595-822E-8317761915AD}"/>
    <cellStyle name="Normal 8 2 2 2 2 2 4 3" xfId="6088" xr:uid="{00000000-0005-0000-0000-0000031C0000}"/>
    <cellStyle name="Normal 8 2 2 2 2 2 4 3 2" xfId="14530" xr:uid="{0B216C42-5997-40E7-AA5A-2052A4C9899A}"/>
    <cellStyle name="Normal 8 2 2 2 2 2 4 4" xfId="10312" xr:uid="{F97A0700-CD42-4258-BFB1-707E4A9AAB72}"/>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4CF18361-8FD4-4EC8-A134-D024B9B55538}"/>
    <cellStyle name="Normal 8 2 2 2 2 2 5 2 3" xfId="12870" xr:uid="{B98CA2DF-3164-4450-AA48-6F8E59D900D4}"/>
    <cellStyle name="Normal 8 2 2 2 2 2 5 3" xfId="6501" xr:uid="{00000000-0005-0000-0000-0000071C0000}"/>
    <cellStyle name="Normal 8 2 2 2 2 2 5 3 2" xfId="14943" xr:uid="{53D8E139-A6C2-4AFC-A236-9DDCC43C7687}"/>
    <cellStyle name="Normal 8 2 2 2 2 2 5 4" xfId="10725" xr:uid="{250055B8-1803-4056-9992-37DC61756FD0}"/>
    <cellStyle name="Normal 8 2 2 2 2 2 6" xfId="2630" xr:uid="{00000000-0005-0000-0000-0000081C0000}"/>
    <cellStyle name="Normal 8 2 2 2 2 2 6 2" xfId="6914" xr:uid="{00000000-0005-0000-0000-0000091C0000}"/>
    <cellStyle name="Normal 8 2 2 2 2 2 6 2 2" xfId="15356" xr:uid="{0A4EDFF1-36E8-4A3F-B4AF-AF411198CDBC}"/>
    <cellStyle name="Normal 8 2 2 2 2 2 6 3" xfId="11138" xr:uid="{AFEBEC4A-03A0-40A0-94AE-A04362E0CDE2}"/>
    <cellStyle name="Normal 8 2 2 2 2 2 7" xfId="4849" xr:uid="{00000000-0005-0000-0000-00000A1C0000}"/>
    <cellStyle name="Normal 8 2 2 2 2 2 7 2" xfId="13291" xr:uid="{925B9481-F9E6-4C9D-ADC0-C905D304ACD9}"/>
    <cellStyle name="Normal 8 2 2 2 2 2 8" xfId="9073" xr:uid="{7C267D29-5D3D-4F7A-A160-7AAAF2A687B2}"/>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DE9FAAB3-1744-4D45-A1F8-25580B337C3B}"/>
    <cellStyle name="Normal 8 2 2 2 2 3 2 3" xfId="11630" xr:uid="{0EF489FC-A7CD-4EF9-B2BB-D2F1C6E75993}"/>
    <cellStyle name="Normal 8 2 2 2 2 3 3" xfId="5261" xr:uid="{00000000-0005-0000-0000-00000E1C0000}"/>
    <cellStyle name="Normal 8 2 2 2 2 3 3 2" xfId="13703" xr:uid="{038C2DF2-90B0-4324-A5C7-6D02BDBEE8A5}"/>
    <cellStyle name="Normal 8 2 2 2 2 3 4" xfId="9485" xr:uid="{0EE3C83B-8C66-44CE-B175-408BCECCD8D4}"/>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B446C9B3-B925-4753-8020-2513AFAFAB1C}"/>
    <cellStyle name="Normal 8 2 2 2 2 4 2 3" xfId="12043" xr:uid="{A80108E6-BC1E-4C08-A89A-AFEF9A9CD675}"/>
    <cellStyle name="Normal 8 2 2 2 2 4 3" xfId="5674" xr:uid="{00000000-0005-0000-0000-0000121C0000}"/>
    <cellStyle name="Normal 8 2 2 2 2 4 3 2" xfId="14116" xr:uid="{10119AC6-9975-4FA9-808B-9E1A5882D9EC}"/>
    <cellStyle name="Normal 8 2 2 2 2 4 4" xfId="9898" xr:uid="{AD0E69D1-520B-4725-8610-FA4DDE660AD4}"/>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86AA93F7-5F81-4D5C-8EF2-E62232FBC15C}"/>
    <cellStyle name="Normal 8 2 2 2 2 5 2 3" xfId="12456" xr:uid="{42CFCEAE-BBDA-4495-AD39-AEEEE23669B4}"/>
    <cellStyle name="Normal 8 2 2 2 2 5 3" xfId="6087" xr:uid="{00000000-0005-0000-0000-0000161C0000}"/>
    <cellStyle name="Normal 8 2 2 2 2 5 3 2" xfId="14529" xr:uid="{11B0716D-8992-4200-B5EB-A0CB40C3148F}"/>
    <cellStyle name="Normal 8 2 2 2 2 5 4" xfId="10311" xr:uid="{85667BFE-2F17-4A51-AA6A-78F977198186}"/>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46FC50FA-46E7-4D93-90EF-1CA2E109F5B5}"/>
    <cellStyle name="Normal 8 2 2 2 2 6 2 3" xfId="12869" xr:uid="{B5144A06-1E48-40DD-A9E4-3027817EBB0E}"/>
    <cellStyle name="Normal 8 2 2 2 2 6 3" xfId="6500" xr:uid="{00000000-0005-0000-0000-00001A1C0000}"/>
    <cellStyle name="Normal 8 2 2 2 2 6 3 2" xfId="14942" xr:uid="{7192D9AC-AFC4-4004-89D6-9E544A9AFAF1}"/>
    <cellStyle name="Normal 8 2 2 2 2 6 4" xfId="10724" xr:uid="{6A6DE888-7990-43B6-AB37-088045B8E57C}"/>
    <cellStyle name="Normal 8 2 2 2 2 7" xfId="2629" xr:uid="{00000000-0005-0000-0000-00001B1C0000}"/>
    <cellStyle name="Normal 8 2 2 2 2 7 2" xfId="6913" xr:uid="{00000000-0005-0000-0000-00001C1C0000}"/>
    <cellStyle name="Normal 8 2 2 2 2 7 2 2" xfId="15355" xr:uid="{A3408069-6B5B-42B3-8ED5-53E8D93CFB6A}"/>
    <cellStyle name="Normal 8 2 2 2 2 7 3" xfId="11137" xr:uid="{17A8B0FA-C8F9-46CD-9327-D8B58C1C09CA}"/>
    <cellStyle name="Normal 8 2 2 2 2 8" xfId="4848" xr:uid="{00000000-0005-0000-0000-00001D1C0000}"/>
    <cellStyle name="Normal 8 2 2 2 2 8 2" xfId="13290" xr:uid="{AEE924CA-1F20-4DB0-826C-1DCD884A744F}"/>
    <cellStyle name="Normal 8 2 2 2 2 9" xfId="9072" xr:uid="{CB65DC53-6189-43C1-BE3D-EAFF45362651}"/>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62DE3D47-D963-4339-84FA-F87D35600A51}"/>
    <cellStyle name="Normal 8 2 2 2 3 2 2 3" xfId="11632" xr:uid="{32C9090D-ABC1-4030-8473-FDAF8BEAE4C7}"/>
    <cellStyle name="Normal 8 2 2 2 3 2 3" xfId="5263" xr:uid="{00000000-0005-0000-0000-0000221C0000}"/>
    <cellStyle name="Normal 8 2 2 2 3 2 3 2" xfId="13705" xr:uid="{A46FA1F8-351E-4085-B52F-128EA2E94BB9}"/>
    <cellStyle name="Normal 8 2 2 2 3 2 4" xfId="9487" xr:uid="{74DE0DE2-4711-4F63-944D-63D74AF2AA62}"/>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237235E7-EE28-4831-BE70-814A1534087F}"/>
    <cellStyle name="Normal 8 2 2 2 3 3 2 3" xfId="12045" xr:uid="{5A18A236-9F1E-415B-B1A8-27561A2ED7D8}"/>
    <cellStyle name="Normal 8 2 2 2 3 3 3" xfId="5676" xr:uid="{00000000-0005-0000-0000-0000261C0000}"/>
    <cellStyle name="Normal 8 2 2 2 3 3 3 2" xfId="14118" xr:uid="{BDA40ADF-8962-4F96-B34B-C3C77957A450}"/>
    <cellStyle name="Normal 8 2 2 2 3 3 4" xfId="9900" xr:uid="{B8685D1E-DDCC-48B1-A908-703497A59ED9}"/>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644306E4-B465-42EA-93ED-5A6121AEA21D}"/>
    <cellStyle name="Normal 8 2 2 2 3 4 2 3" xfId="12458" xr:uid="{0D4A4BA3-FA91-48F7-8127-EF316EC700BF}"/>
    <cellStyle name="Normal 8 2 2 2 3 4 3" xfId="6089" xr:uid="{00000000-0005-0000-0000-00002A1C0000}"/>
    <cellStyle name="Normal 8 2 2 2 3 4 3 2" xfId="14531" xr:uid="{2964940E-D6B5-464E-ADC6-B7CF2764F017}"/>
    <cellStyle name="Normal 8 2 2 2 3 4 4" xfId="10313" xr:uid="{6B021A48-92EC-42A5-83C4-EF971EFE59F1}"/>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B4C2527A-248A-4B82-92F3-F10C6B0D598C}"/>
    <cellStyle name="Normal 8 2 2 2 3 5 2 3" xfId="12871" xr:uid="{CB02405F-CC0A-4099-A69F-E50AF2A82030}"/>
    <cellStyle name="Normal 8 2 2 2 3 5 3" xfId="6502" xr:uid="{00000000-0005-0000-0000-00002E1C0000}"/>
    <cellStyle name="Normal 8 2 2 2 3 5 3 2" xfId="14944" xr:uid="{C3739694-D88A-467A-87CB-4D2465151141}"/>
    <cellStyle name="Normal 8 2 2 2 3 5 4" xfId="10726" xr:uid="{65142DB8-6C1F-4655-8ECE-C6CEFD5D3B5F}"/>
    <cellStyle name="Normal 8 2 2 2 3 6" xfId="2631" xr:uid="{00000000-0005-0000-0000-00002F1C0000}"/>
    <cellStyle name="Normal 8 2 2 2 3 6 2" xfId="6915" xr:uid="{00000000-0005-0000-0000-0000301C0000}"/>
    <cellStyle name="Normal 8 2 2 2 3 6 2 2" xfId="15357" xr:uid="{6188F0B0-A12E-4A8F-84D9-7B99921D4A15}"/>
    <cellStyle name="Normal 8 2 2 2 3 6 3" xfId="11139" xr:uid="{73271342-95FC-4464-915C-EF323020DDF2}"/>
    <cellStyle name="Normal 8 2 2 2 3 7" xfId="4850" xr:uid="{00000000-0005-0000-0000-0000311C0000}"/>
    <cellStyle name="Normal 8 2 2 2 3 7 2" xfId="13292" xr:uid="{020B4513-1DE8-4ABD-AC72-F0963C0D7E1A}"/>
    <cellStyle name="Normal 8 2 2 2 3 8" xfId="9074" xr:uid="{98CB4DEA-5C51-4EFB-A130-A3CDC4297E23}"/>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EDDCAC08-235F-47A6-8E0D-639222C1D1E0}"/>
    <cellStyle name="Normal 8 2 2 2 4 2 3" xfId="11629" xr:uid="{D0DE453F-ED76-4649-B72C-9AB72BA1DDF9}"/>
    <cellStyle name="Normal 8 2 2 2 4 3" xfId="5260" xr:uid="{00000000-0005-0000-0000-0000351C0000}"/>
    <cellStyle name="Normal 8 2 2 2 4 3 2" xfId="13702" xr:uid="{53297F57-7BCB-4B1A-9077-8A3FC9EDD08C}"/>
    <cellStyle name="Normal 8 2 2 2 4 4" xfId="9484" xr:uid="{E77E2ACC-B0AA-4780-B8B1-F74652196BA6}"/>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BAC3B3E2-A176-40F7-8800-AD8F0D4E82D7}"/>
    <cellStyle name="Normal 8 2 2 2 5 2 3" xfId="12042" xr:uid="{CCB0BC6A-422E-4167-A349-085CD017E2FB}"/>
    <cellStyle name="Normal 8 2 2 2 5 3" xfId="5673" xr:uid="{00000000-0005-0000-0000-0000391C0000}"/>
    <cellStyle name="Normal 8 2 2 2 5 3 2" xfId="14115" xr:uid="{CB69CB83-2842-482A-BECF-295257BE4171}"/>
    <cellStyle name="Normal 8 2 2 2 5 4" xfId="9897" xr:uid="{347F6CBE-71C1-480B-9EBC-24AF1B46C3F8}"/>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56DEEB69-D374-4F27-A5B6-B048A1D09581}"/>
    <cellStyle name="Normal 8 2 2 2 6 2 3" xfId="12455" xr:uid="{3C75E8E7-2955-4D54-A9BD-824D45A3C3B6}"/>
    <cellStyle name="Normal 8 2 2 2 6 3" xfId="6086" xr:uid="{00000000-0005-0000-0000-00003D1C0000}"/>
    <cellStyle name="Normal 8 2 2 2 6 3 2" xfId="14528" xr:uid="{82C804B3-AA86-42A9-9165-FF9E7149B68F}"/>
    <cellStyle name="Normal 8 2 2 2 6 4" xfId="10310" xr:uid="{4A2E8A38-06CA-4744-AB75-6D9354067BEE}"/>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C7F73102-9198-4AE1-90B7-27ABD54A1523}"/>
    <cellStyle name="Normal 8 2 2 2 7 2 3" xfId="12868" xr:uid="{FCFE735B-2125-4880-9107-D5695BA409F4}"/>
    <cellStyle name="Normal 8 2 2 2 7 3" xfId="6499" xr:uid="{00000000-0005-0000-0000-0000411C0000}"/>
    <cellStyle name="Normal 8 2 2 2 7 3 2" xfId="14941" xr:uid="{151DA044-1DB0-498D-8A0A-43B5EFF7F6C1}"/>
    <cellStyle name="Normal 8 2 2 2 7 4" xfId="10723" xr:uid="{38D199C3-68F0-419F-8E0E-B9A3871C5722}"/>
    <cellStyle name="Normal 8 2 2 2 8" xfId="2628" xr:uid="{00000000-0005-0000-0000-0000421C0000}"/>
    <cellStyle name="Normal 8 2 2 2 8 2" xfId="6912" xr:uid="{00000000-0005-0000-0000-0000431C0000}"/>
    <cellStyle name="Normal 8 2 2 2 8 2 2" xfId="15354" xr:uid="{B3FFAAA0-2470-4D4F-881D-A05EDAD5ABA3}"/>
    <cellStyle name="Normal 8 2 2 2 8 3" xfId="11136" xr:uid="{05F915FF-A7BB-483A-BF16-73CFDCC74B7D}"/>
    <cellStyle name="Normal 8 2 2 2 9" xfId="4847" xr:uid="{00000000-0005-0000-0000-0000441C0000}"/>
    <cellStyle name="Normal 8 2 2 2 9 2" xfId="13289" xr:uid="{D21B8F3E-0A9D-4F9A-98A9-3BEB13BBE5F7}"/>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1C89A73E-3517-46E7-AADC-16B07EA31965}"/>
    <cellStyle name="Normal 8 2 2 3 2 2 2 3" xfId="11634" xr:uid="{60A1E48A-9F9F-4D68-BB98-AB7286E51A86}"/>
    <cellStyle name="Normal 8 2 2 3 2 2 3" xfId="5265" xr:uid="{00000000-0005-0000-0000-00004A1C0000}"/>
    <cellStyle name="Normal 8 2 2 3 2 2 3 2" xfId="13707" xr:uid="{6BAC2E21-624E-4A36-ABF3-252F9EA3718A}"/>
    <cellStyle name="Normal 8 2 2 3 2 2 4" xfId="9489" xr:uid="{E3DC50CE-F835-4537-893C-2A8217B19DF5}"/>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88E2E204-5117-4443-91C5-C4B0629147E1}"/>
    <cellStyle name="Normal 8 2 2 3 2 3 2 3" xfId="12047" xr:uid="{00B1DB64-2C8D-430A-B127-63C5F449250C}"/>
    <cellStyle name="Normal 8 2 2 3 2 3 3" xfId="5678" xr:uid="{00000000-0005-0000-0000-00004E1C0000}"/>
    <cellStyle name="Normal 8 2 2 3 2 3 3 2" xfId="14120" xr:uid="{674D1CFE-F917-4DB6-A464-FE1146D852B8}"/>
    <cellStyle name="Normal 8 2 2 3 2 3 4" xfId="9902" xr:uid="{B87335F8-3E8D-410D-91AE-F4E7CDC4D97B}"/>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99251E30-A886-4791-88EE-F1558E622BC9}"/>
    <cellStyle name="Normal 8 2 2 3 2 4 2 3" xfId="12460" xr:uid="{F2E1E73B-0EEA-40C2-85F2-AEEA3C68E08E}"/>
    <cellStyle name="Normal 8 2 2 3 2 4 3" xfId="6091" xr:uid="{00000000-0005-0000-0000-0000521C0000}"/>
    <cellStyle name="Normal 8 2 2 3 2 4 3 2" xfId="14533" xr:uid="{D75D983E-B8B5-4523-9B57-B70A5DF7A7E1}"/>
    <cellStyle name="Normal 8 2 2 3 2 4 4" xfId="10315" xr:uid="{BAED872B-26D2-464F-9CBA-7CDA03B95349}"/>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308EE755-097D-48C6-9770-88D0FF052468}"/>
    <cellStyle name="Normal 8 2 2 3 2 5 2 3" xfId="12873" xr:uid="{3716778B-A614-4328-B34F-9FDFD45E56C1}"/>
    <cellStyle name="Normal 8 2 2 3 2 5 3" xfId="6504" xr:uid="{00000000-0005-0000-0000-0000561C0000}"/>
    <cellStyle name="Normal 8 2 2 3 2 5 3 2" xfId="14946" xr:uid="{73A7E468-0B7A-40B1-8C2F-7E1345F1048E}"/>
    <cellStyle name="Normal 8 2 2 3 2 5 4" xfId="10728" xr:uid="{B04F9A0C-E9A3-4BEE-B456-D7657774D9F3}"/>
    <cellStyle name="Normal 8 2 2 3 2 6" xfId="2633" xr:uid="{00000000-0005-0000-0000-0000571C0000}"/>
    <cellStyle name="Normal 8 2 2 3 2 6 2" xfId="6917" xr:uid="{00000000-0005-0000-0000-0000581C0000}"/>
    <cellStyle name="Normal 8 2 2 3 2 6 2 2" xfId="15359" xr:uid="{5331D4F4-D486-4D86-9BBD-4FE201720E8D}"/>
    <cellStyle name="Normal 8 2 2 3 2 6 3" xfId="11141" xr:uid="{0C06184D-3E7A-451F-A848-7A889CCC486E}"/>
    <cellStyle name="Normal 8 2 2 3 2 7" xfId="4852" xr:uid="{00000000-0005-0000-0000-0000591C0000}"/>
    <cellStyle name="Normal 8 2 2 3 2 7 2" xfId="13294" xr:uid="{74BBB195-777F-4ED6-89E1-75C1DC4FC63A}"/>
    <cellStyle name="Normal 8 2 2 3 2 8" xfId="9076" xr:uid="{9416AE10-7BD8-4654-AB25-93ACC24408AA}"/>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127FD8B3-C09A-40B0-A32C-BC8FA5A30531}"/>
    <cellStyle name="Normal 8 2 2 3 3 2 3" xfId="11633" xr:uid="{F5E22DFE-3B14-47A4-A878-7B3B48F5E84F}"/>
    <cellStyle name="Normal 8 2 2 3 3 3" xfId="5264" xr:uid="{00000000-0005-0000-0000-00005D1C0000}"/>
    <cellStyle name="Normal 8 2 2 3 3 3 2" xfId="13706" xr:uid="{002693C0-275C-4EF5-A1D0-A096F2A603EC}"/>
    <cellStyle name="Normal 8 2 2 3 3 4" xfId="9488" xr:uid="{C185FBDC-CD04-4DFA-83D5-7962A9530B57}"/>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8252E367-8903-4019-8DF7-5D91004D9A4E}"/>
    <cellStyle name="Normal 8 2 2 3 4 2 3" xfId="12046" xr:uid="{F23D8CC3-396E-46D6-886B-F990DDE5DC16}"/>
    <cellStyle name="Normal 8 2 2 3 4 3" xfId="5677" xr:uid="{00000000-0005-0000-0000-0000611C0000}"/>
    <cellStyle name="Normal 8 2 2 3 4 3 2" xfId="14119" xr:uid="{E2814AD1-367F-4EB1-A723-B497A2D66F03}"/>
    <cellStyle name="Normal 8 2 2 3 4 4" xfId="9901" xr:uid="{A314AA3B-974D-4732-A528-787498CD6E0C}"/>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5A00C2E0-2733-4385-9FB2-2CEC9EB34CB7}"/>
    <cellStyle name="Normal 8 2 2 3 5 2 3" xfId="12459" xr:uid="{56BC44E0-5804-416F-BF95-1269E7E48658}"/>
    <cellStyle name="Normal 8 2 2 3 5 3" xfId="6090" xr:uid="{00000000-0005-0000-0000-0000651C0000}"/>
    <cellStyle name="Normal 8 2 2 3 5 3 2" xfId="14532" xr:uid="{D66C98AB-A928-4329-B887-EDD830CC5CF7}"/>
    <cellStyle name="Normal 8 2 2 3 5 4" xfId="10314" xr:uid="{F039C983-FF1B-4591-9DFB-1D8323BE0A31}"/>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49AF0651-EBDD-4BE7-9E25-248CC6D1F99A}"/>
    <cellStyle name="Normal 8 2 2 3 6 2 3" xfId="12872" xr:uid="{B099374E-8CA8-4DB9-9142-EB696B1BFEE6}"/>
    <cellStyle name="Normal 8 2 2 3 6 3" xfId="6503" xr:uid="{00000000-0005-0000-0000-0000691C0000}"/>
    <cellStyle name="Normal 8 2 2 3 6 3 2" xfId="14945" xr:uid="{1ABC03AA-E6B1-4B23-8D96-A587C9069580}"/>
    <cellStyle name="Normal 8 2 2 3 6 4" xfId="10727" xr:uid="{0FBD9BDB-B4C9-4F29-8A9E-1B3BCD414267}"/>
    <cellStyle name="Normal 8 2 2 3 7" xfId="2632" xr:uid="{00000000-0005-0000-0000-00006A1C0000}"/>
    <cellStyle name="Normal 8 2 2 3 7 2" xfId="6916" xr:uid="{00000000-0005-0000-0000-00006B1C0000}"/>
    <cellStyle name="Normal 8 2 2 3 7 2 2" xfId="15358" xr:uid="{5516D0AF-5113-48E6-80C5-95A43F70825F}"/>
    <cellStyle name="Normal 8 2 2 3 7 3" xfId="11140" xr:uid="{D14C1B4F-7DBC-4561-80AC-986723AD7D7A}"/>
    <cellStyle name="Normal 8 2 2 3 8" xfId="4851" xr:uid="{00000000-0005-0000-0000-00006C1C0000}"/>
    <cellStyle name="Normal 8 2 2 3 8 2" xfId="13293" xr:uid="{F59ED9B8-5181-4920-B3CB-A2CD3D021911}"/>
    <cellStyle name="Normal 8 2 2 3 9" xfId="9075" xr:uid="{AEF54CD5-0D36-4227-ABC2-2F1EAC49630F}"/>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7642DDB6-2421-4154-BE49-670F8D69E0BB}"/>
    <cellStyle name="Normal 8 2 2 4 2 2 3" xfId="11635" xr:uid="{FC07D643-37B1-43C0-96B1-AE06342712C5}"/>
    <cellStyle name="Normal 8 2 2 4 2 3" xfId="5266" xr:uid="{00000000-0005-0000-0000-0000711C0000}"/>
    <cellStyle name="Normal 8 2 2 4 2 3 2" xfId="13708" xr:uid="{CB9F8240-1199-4913-A603-FD73FADE1912}"/>
    <cellStyle name="Normal 8 2 2 4 2 4" xfId="9490" xr:uid="{4A0809DA-086D-4271-BD8F-01AC7CB3F28D}"/>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4AFAA169-D506-4E9E-A7FC-C9256E0F5F9B}"/>
    <cellStyle name="Normal 8 2 2 4 3 2 3" xfId="12048" xr:uid="{DF79C341-4C2C-437C-A523-BBE4120C7F48}"/>
    <cellStyle name="Normal 8 2 2 4 3 3" xfId="5679" xr:uid="{00000000-0005-0000-0000-0000751C0000}"/>
    <cellStyle name="Normal 8 2 2 4 3 3 2" xfId="14121" xr:uid="{423FAF1D-8D76-4687-B278-8E86D2B4A827}"/>
    <cellStyle name="Normal 8 2 2 4 3 4" xfId="9903" xr:uid="{064BF50B-3F19-4F8D-80E5-64E97D4F6F64}"/>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85ABFF48-1F91-4E9A-9CB9-BE0A601F70D4}"/>
    <cellStyle name="Normal 8 2 2 4 4 2 3" xfId="12461" xr:uid="{C9133C9C-7261-4BC7-B785-279D0E10EC9C}"/>
    <cellStyle name="Normal 8 2 2 4 4 3" xfId="6092" xr:uid="{00000000-0005-0000-0000-0000791C0000}"/>
    <cellStyle name="Normal 8 2 2 4 4 3 2" xfId="14534" xr:uid="{2EFF6FEC-ED21-486E-BA99-FF8BB1259A62}"/>
    <cellStyle name="Normal 8 2 2 4 4 4" xfId="10316" xr:uid="{8189CC04-0DE5-446C-9488-8A21924C0B32}"/>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60C4F5A9-5B95-410B-B8B1-D36F36C4C2B2}"/>
    <cellStyle name="Normal 8 2 2 4 5 2 3" xfId="12874" xr:uid="{1C97C134-869E-4D57-8410-629815C2581D}"/>
    <cellStyle name="Normal 8 2 2 4 5 3" xfId="6505" xr:uid="{00000000-0005-0000-0000-00007D1C0000}"/>
    <cellStyle name="Normal 8 2 2 4 5 3 2" xfId="14947" xr:uid="{F0E44248-5805-40B1-9FDC-2F6A8ED923F1}"/>
    <cellStyle name="Normal 8 2 2 4 5 4" xfId="10729" xr:uid="{33284013-8447-4D83-96BC-F07A41340FE6}"/>
    <cellStyle name="Normal 8 2 2 4 6" xfId="2634" xr:uid="{00000000-0005-0000-0000-00007E1C0000}"/>
    <cellStyle name="Normal 8 2 2 4 6 2" xfId="6918" xr:uid="{00000000-0005-0000-0000-00007F1C0000}"/>
    <cellStyle name="Normal 8 2 2 4 6 2 2" xfId="15360" xr:uid="{A95E0551-DCB0-4599-B1F5-334781A8CBB0}"/>
    <cellStyle name="Normal 8 2 2 4 6 3" xfId="11142" xr:uid="{9322D793-2ABA-4D70-B9DD-3F21D596FA85}"/>
    <cellStyle name="Normal 8 2 2 4 7" xfId="4853" xr:uid="{00000000-0005-0000-0000-0000801C0000}"/>
    <cellStyle name="Normal 8 2 2 4 7 2" xfId="13295" xr:uid="{79509692-E381-4FC0-AEF5-80590AB4434B}"/>
    <cellStyle name="Normal 8 2 2 4 8" xfId="9077" xr:uid="{7F33084B-CD1A-4365-82E6-E692791211B5}"/>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EA354BE9-24B1-490A-B228-30D38D726BC2}"/>
    <cellStyle name="Normal 8 2 2 5 2 3" xfId="11628" xr:uid="{86BBE3C7-1DCC-41F3-9F0A-B2CBE1EDBD79}"/>
    <cellStyle name="Normal 8 2 2 5 3" xfId="5259" xr:uid="{00000000-0005-0000-0000-0000841C0000}"/>
    <cellStyle name="Normal 8 2 2 5 3 2" xfId="13701" xr:uid="{1E23D45E-92FD-46A7-A948-D819DD0B9021}"/>
    <cellStyle name="Normal 8 2 2 5 4" xfId="9483" xr:uid="{8276DD46-800B-4EC8-8C49-C5D63EDC5CBD}"/>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E0092106-B714-44C1-B4A0-E739184D8A45}"/>
    <cellStyle name="Normal 8 2 2 6 2 3" xfId="12041" xr:uid="{3F03BB60-2616-4F34-87B6-4ED2DD7E1229}"/>
    <cellStyle name="Normal 8 2 2 6 3" xfId="5672" xr:uid="{00000000-0005-0000-0000-0000881C0000}"/>
    <cellStyle name="Normal 8 2 2 6 3 2" xfId="14114" xr:uid="{90527C18-0775-4BAF-8441-931B8E45E33A}"/>
    <cellStyle name="Normal 8 2 2 6 4" xfId="9896" xr:uid="{7AD96B7A-ED38-4D69-A25A-C59A4232BB97}"/>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D10D0224-D6B6-4AC7-81AF-AEC64F9DA9E9}"/>
    <cellStyle name="Normal 8 2 2 7 2 3" xfId="12454" xr:uid="{FF791351-DC7B-4774-8FA2-2F9FCA58823D}"/>
    <cellStyle name="Normal 8 2 2 7 3" xfId="6085" xr:uid="{00000000-0005-0000-0000-00008C1C0000}"/>
    <cellStyle name="Normal 8 2 2 7 3 2" xfId="14527" xr:uid="{19DCFBBD-7B21-42FF-997B-13485A3736F4}"/>
    <cellStyle name="Normal 8 2 2 7 4" xfId="10309" xr:uid="{9B0E6035-D918-4AF3-9CDE-BCB9990C13EB}"/>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2B108645-2F37-4209-8D01-41F7F3300485}"/>
    <cellStyle name="Normal 8 2 2 8 2 3" xfId="12867" xr:uid="{E14115AD-B246-4ED1-8AD7-BA6443575D65}"/>
    <cellStyle name="Normal 8 2 2 8 3" xfId="6498" xr:uid="{00000000-0005-0000-0000-0000901C0000}"/>
    <cellStyle name="Normal 8 2 2 8 3 2" xfId="14940" xr:uid="{40D79E18-9907-4B86-8E5D-D40D19A9BE39}"/>
    <cellStyle name="Normal 8 2 2 8 4" xfId="10722" xr:uid="{84064D89-106F-41B7-B46F-4B58817B2310}"/>
    <cellStyle name="Normal 8 2 2 9" xfId="2627" xr:uid="{00000000-0005-0000-0000-0000911C0000}"/>
    <cellStyle name="Normal 8 2 2 9 2" xfId="6911" xr:uid="{00000000-0005-0000-0000-0000921C0000}"/>
    <cellStyle name="Normal 8 2 2 9 2 2" xfId="15353" xr:uid="{C3317F6F-4B67-41AC-9B38-DA8E03EE2422}"/>
    <cellStyle name="Normal 8 2 2 9 3" xfId="11135" xr:uid="{561F017B-B9E1-4A13-B813-7D37BE12A62D}"/>
    <cellStyle name="Normal 8 2 3" xfId="488" xr:uid="{00000000-0005-0000-0000-0000931C0000}"/>
    <cellStyle name="Normal 8 2 3 10" xfId="9078" xr:uid="{DFCA5DAB-5EF9-487E-ACB0-59F7C43BE891}"/>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D6D90F90-AE41-480A-880E-BEDE10976DED}"/>
    <cellStyle name="Normal 8 2 3 2 2 2 2 3" xfId="11638" xr:uid="{188F6412-D685-4C0A-B21D-78AE4D1D7F8A}"/>
    <cellStyle name="Normal 8 2 3 2 2 2 3" xfId="5269" xr:uid="{00000000-0005-0000-0000-0000991C0000}"/>
    <cellStyle name="Normal 8 2 3 2 2 2 3 2" xfId="13711" xr:uid="{B2AC95DF-0BB8-426D-87D9-D5F430847065}"/>
    <cellStyle name="Normal 8 2 3 2 2 2 4" xfId="9493" xr:uid="{E98D5041-DFA7-4FF3-BBBE-7D883F74C1B7}"/>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B7347B71-1D12-4D6C-8962-E93C6E3D9BFD}"/>
    <cellStyle name="Normal 8 2 3 2 2 3 2 3" xfId="12051" xr:uid="{586C3E6B-A927-4385-A7C4-365BC7BA6A80}"/>
    <cellStyle name="Normal 8 2 3 2 2 3 3" xfId="5682" xr:uid="{00000000-0005-0000-0000-00009D1C0000}"/>
    <cellStyle name="Normal 8 2 3 2 2 3 3 2" xfId="14124" xr:uid="{48810B4F-5A96-4DAC-A9F9-35BCF8F215B2}"/>
    <cellStyle name="Normal 8 2 3 2 2 3 4" xfId="9906" xr:uid="{2DD09AB6-07CE-47AD-B960-D86A3ADA9254}"/>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62B1785E-7894-4F12-9FAC-DBF6B6CCA689}"/>
    <cellStyle name="Normal 8 2 3 2 2 4 2 3" xfId="12464" xr:uid="{0106309B-3C08-45D4-85FC-8237232346CB}"/>
    <cellStyle name="Normal 8 2 3 2 2 4 3" xfId="6095" xr:uid="{00000000-0005-0000-0000-0000A11C0000}"/>
    <cellStyle name="Normal 8 2 3 2 2 4 3 2" xfId="14537" xr:uid="{8B2B0A0A-D387-474C-9A00-23BACA4E61F2}"/>
    <cellStyle name="Normal 8 2 3 2 2 4 4" xfId="10319" xr:uid="{3CC169FC-7AD7-4202-8623-72EAA922B1C7}"/>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C356E371-FD30-4E17-8BA6-6212B324E5A5}"/>
    <cellStyle name="Normal 8 2 3 2 2 5 2 3" xfId="12877" xr:uid="{A2042CC8-0002-44F9-81CE-17E37C63179F}"/>
    <cellStyle name="Normal 8 2 3 2 2 5 3" xfId="6508" xr:uid="{00000000-0005-0000-0000-0000A51C0000}"/>
    <cellStyle name="Normal 8 2 3 2 2 5 3 2" xfId="14950" xr:uid="{8607104E-77AF-4534-B922-016D2FBAA59C}"/>
    <cellStyle name="Normal 8 2 3 2 2 5 4" xfId="10732" xr:uid="{71BA23E3-28BD-4A1D-9C18-48529688CDAC}"/>
    <cellStyle name="Normal 8 2 3 2 2 6" xfId="2637" xr:uid="{00000000-0005-0000-0000-0000A61C0000}"/>
    <cellStyle name="Normal 8 2 3 2 2 6 2" xfId="6921" xr:uid="{00000000-0005-0000-0000-0000A71C0000}"/>
    <cellStyle name="Normal 8 2 3 2 2 6 2 2" xfId="15363" xr:uid="{99A0C13E-AA91-452A-BA22-E5B7FD66599C}"/>
    <cellStyle name="Normal 8 2 3 2 2 6 3" xfId="11145" xr:uid="{DA05CB31-C576-44AC-9AD8-3CF8B6F3EA92}"/>
    <cellStyle name="Normal 8 2 3 2 2 7" xfId="4856" xr:uid="{00000000-0005-0000-0000-0000A81C0000}"/>
    <cellStyle name="Normal 8 2 3 2 2 7 2" xfId="13298" xr:uid="{A65F360D-3A58-4E33-B02B-3E250E9162B1}"/>
    <cellStyle name="Normal 8 2 3 2 2 8" xfId="9080" xr:uid="{5B8BA3D5-26EF-4AE2-8807-A6D32E76D1BB}"/>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3D1A5DEB-9615-4D44-A041-4F9FD52C20BE}"/>
    <cellStyle name="Normal 8 2 3 2 3 2 3" xfId="11637" xr:uid="{906EAA98-AF53-4776-BCB6-AA26A10393EA}"/>
    <cellStyle name="Normal 8 2 3 2 3 3" xfId="5268" xr:uid="{00000000-0005-0000-0000-0000AC1C0000}"/>
    <cellStyle name="Normal 8 2 3 2 3 3 2" xfId="13710" xr:uid="{C249347E-14B4-4678-B563-11AC803849EA}"/>
    <cellStyle name="Normal 8 2 3 2 3 4" xfId="9492" xr:uid="{5AE266CE-2156-4A1B-9579-76B95C0A1CF9}"/>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11A57B9F-2E5B-40AF-906C-6D7FCBCA02F7}"/>
    <cellStyle name="Normal 8 2 3 2 4 2 3" xfId="12050" xr:uid="{84012337-7E9D-446B-A5D0-450653953E55}"/>
    <cellStyle name="Normal 8 2 3 2 4 3" xfId="5681" xr:uid="{00000000-0005-0000-0000-0000B01C0000}"/>
    <cellStyle name="Normal 8 2 3 2 4 3 2" xfId="14123" xr:uid="{7AD725E3-8593-46B5-BAC1-1DC1770AA6B4}"/>
    <cellStyle name="Normal 8 2 3 2 4 4" xfId="9905" xr:uid="{F0CB0781-C5FF-4858-B046-FC372FAD8FF7}"/>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643ADA7C-B96E-42B6-A3B1-C9A3BB698FA3}"/>
    <cellStyle name="Normal 8 2 3 2 5 2 3" xfId="12463" xr:uid="{BB87FD5A-D326-49C5-92D0-63CBC3D69539}"/>
    <cellStyle name="Normal 8 2 3 2 5 3" xfId="6094" xr:uid="{00000000-0005-0000-0000-0000B41C0000}"/>
    <cellStyle name="Normal 8 2 3 2 5 3 2" xfId="14536" xr:uid="{5F9A7254-04F3-44D4-8907-BB7BA81901EC}"/>
    <cellStyle name="Normal 8 2 3 2 5 4" xfId="10318" xr:uid="{43AAE9F4-47EF-463C-95B6-F92C0F974B85}"/>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92CDF913-10C0-4FBC-8830-656B3531FB89}"/>
    <cellStyle name="Normal 8 2 3 2 6 2 3" xfId="12876" xr:uid="{60A9FFF1-A113-448A-AC2C-ECF6D1397F6B}"/>
    <cellStyle name="Normal 8 2 3 2 6 3" xfId="6507" xr:uid="{00000000-0005-0000-0000-0000B81C0000}"/>
    <cellStyle name="Normal 8 2 3 2 6 3 2" xfId="14949" xr:uid="{07A81A52-810D-47C8-9994-B13D15B22C35}"/>
    <cellStyle name="Normal 8 2 3 2 6 4" xfId="10731" xr:uid="{07917BD1-7769-4F46-B0AE-CCDF61467301}"/>
    <cellStyle name="Normal 8 2 3 2 7" xfId="2636" xr:uid="{00000000-0005-0000-0000-0000B91C0000}"/>
    <cellStyle name="Normal 8 2 3 2 7 2" xfId="6920" xr:uid="{00000000-0005-0000-0000-0000BA1C0000}"/>
    <cellStyle name="Normal 8 2 3 2 7 2 2" xfId="15362" xr:uid="{4636722A-8D23-4C3B-889D-A4DB3054AACA}"/>
    <cellStyle name="Normal 8 2 3 2 7 3" xfId="11144" xr:uid="{9AF70CCD-DEA9-453B-8561-4D87350D1A75}"/>
    <cellStyle name="Normal 8 2 3 2 8" xfId="4855" xr:uid="{00000000-0005-0000-0000-0000BB1C0000}"/>
    <cellStyle name="Normal 8 2 3 2 8 2" xfId="13297" xr:uid="{77F7568D-BADE-4098-90BE-020EB41F08BD}"/>
    <cellStyle name="Normal 8 2 3 2 9" xfId="9079" xr:uid="{BA41D630-2D4C-4030-9DB0-A30F1567AA41}"/>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D54B964E-7E56-4AD0-93E3-2554ABC905A7}"/>
    <cellStyle name="Normal 8 2 3 3 2 2 3" xfId="11639" xr:uid="{68F6E911-76BB-456F-990F-71E4C1704263}"/>
    <cellStyle name="Normal 8 2 3 3 2 3" xfId="5270" xr:uid="{00000000-0005-0000-0000-0000C01C0000}"/>
    <cellStyle name="Normal 8 2 3 3 2 3 2" xfId="13712" xr:uid="{84B026E0-7877-4AE5-8EED-D1DD081A34A2}"/>
    <cellStyle name="Normal 8 2 3 3 2 4" xfId="9494" xr:uid="{B66E486E-0A09-4649-8D69-A3ECC02AADAF}"/>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6003EA62-74E0-468A-9955-F5D3B328289C}"/>
    <cellStyle name="Normal 8 2 3 3 3 2 3" xfId="12052" xr:uid="{2F5C9C02-D748-478E-85D5-0FFF1677D365}"/>
    <cellStyle name="Normal 8 2 3 3 3 3" xfId="5683" xr:uid="{00000000-0005-0000-0000-0000C41C0000}"/>
    <cellStyle name="Normal 8 2 3 3 3 3 2" xfId="14125" xr:uid="{C80B2C58-716C-497A-953D-1ED59F9B0664}"/>
    <cellStyle name="Normal 8 2 3 3 3 4" xfId="9907" xr:uid="{1E997A90-261D-4CF6-B505-EC0D06E8E31C}"/>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D2D3A0D9-5B2F-4378-B3B6-36120598489F}"/>
    <cellStyle name="Normal 8 2 3 3 4 2 3" xfId="12465" xr:uid="{73E070F9-91E1-4F18-9F40-751241F8F8B6}"/>
    <cellStyle name="Normal 8 2 3 3 4 3" xfId="6096" xr:uid="{00000000-0005-0000-0000-0000C81C0000}"/>
    <cellStyle name="Normal 8 2 3 3 4 3 2" xfId="14538" xr:uid="{1C0722A3-869B-4BFC-AE60-B9D7E79AB860}"/>
    <cellStyle name="Normal 8 2 3 3 4 4" xfId="10320" xr:uid="{9C875B09-ED53-404E-9B8F-899726E2E347}"/>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E1C08D11-E35C-4BB9-BF0D-592228E658E0}"/>
    <cellStyle name="Normal 8 2 3 3 5 2 3" xfId="12878" xr:uid="{A8CAF261-5CFA-47CC-BCF9-3555B34FCC15}"/>
    <cellStyle name="Normal 8 2 3 3 5 3" xfId="6509" xr:uid="{00000000-0005-0000-0000-0000CC1C0000}"/>
    <cellStyle name="Normal 8 2 3 3 5 3 2" xfId="14951" xr:uid="{8E326C57-4F9C-4B33-9388-2F80B795738A}"/>
    <cellStyle name="Normal 8 2 3 3 5 4" xfId="10733" xr:uid="{50B19C3A-9C9D-4B6A-BF68-886F7BE13332}"/>
    <cellStyle name="Normal 8 2 3 3 6" xfId="2638" xr:uid="{00000000-0005-0000-0000-0000CD1C0000}"/>
    <cellStyle name="Normal 8 2 3 3 6 2" xfId="6922" xr:uid="{00000000-0005-0000-0000-0000CE1C0000}"/>
    <cellStyle name="Normal 8 2 3 3 6 2 2" xfId="15364" xr:uid="{8637D8E1-6887-4232-9110-CB451069CABC}"/>
    <cellStyle name="Normal 8 2 3 3 6 3" xfId="11146" xr:uid="{4479F2A6-F5EB-4314-81C2-33E074F17E59}"/>
    <cellStyle name="Normal 8 2 3 3 7" xfId="4857" xr:uid="{00000000-0005-0000-0000-0000CF1C0000}"/>
    <cellStyle name="Normal 8 2 3 3 7 2" xfId="13299" xr:uid="{37EA06FB-3DA0-4D88-9A86-215165C6F773}"/>
    <cellStyle name="Normal 8 2 3 3 8" xfId="9081" xr:uid="{771611C1-9DCC-4389-B9A5-E2600D69A5EE}"/>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CC25C1B3-657C-44E2-BFC0-DB027797818E}"/>
    <cellStyle name="Normal 8 2 3 4 2 3" xfId="11636" xr:uid="{554B66C4-E4A6-4813-9D96-A81CEA230204}"/>
    <cellStyle name="Normal 8 2 3 4 3" xfId="5267" xr:uid="{00000000-0005-0000-0000-0000D31C0000}"/>
    <cellStyle name="Normal 8 2 3 4 3 2" xfId="13709" xr:uid="{C9AB875B-1F19-44A9-BA32-85E8EB42FF28}"/>
    <cellStyle name="Normal 8 2 3 4 4" xfId="9491" xr:uid="{389F8AC5-6165-4FDF-89C7-CBFB4B3896C2}"/>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0F3C11B4-B776-4E59-86A3-5F5E294BC05C}"/>
    <cellStyle name="Normal 8 2 3 5 2 3" xfId="12049" xr:uid="{217DF0FC-DC50-4A4E-83E7-F76D47C2BF68}"/>
    <cellStyle name="Normal 8 2 3 5 3" xfId="5680" xr:uid="{00000000-0005-0000-0000-0000D71C0000}"/>
    <cellStyle name="Normal 8 2 3 5 3 2" xfId="14122" xr:uid="{53A43790-5912-4E3C-ADBE-69CF03C11A43}"/>
    <cellStyle name="Normal 8 2 3 5 4" xfId="9904" xr:uid="{47D506C0-3FEF-453F-8174-3699DFA64ECD}"/>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BF30E811-F2D6-4DD3-9401-ED089B4D0023}"/>
    <cellStyle name="Normal 8 2 3 6 2 3" xfId="12462" xr:uid="{3C5DC86D-C709-4DA4-AC8E-72ECE74BF2B2}"/>
    <cellStyle name="Normal 8 2 3 6 3" xfId="6093" xr:uid="{00000000-0005-0000-0000-0000DB1C0000}"/>
    <cellStyle name="Normal 8 2 3 6 3 2" xfId="14535" xr:uid="{5755EA3E-B95B-4954-894F-DD1D35DB9B7F}"/>
    <cellStyle name="Normal 8 2 3 6 4" xfId="10317" xr:uid="{1FBA4C59-A4FA-447F-BCC2-A283021AEB9D}"/>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3F7DE0CE-848C-44D1-8B35-B47A28495396}"/>
    <cellStyle name="Normal 8 2 3 7 2 3" xfId="12875" xr:uid="{18A2C610-3D00-4E4A-9256-D63BEC665A9B}"/>
    <cellStyle name="Normal 8 2 3 7 3" xfId="6506" xr:uid="{00000000-0005-0000-0000-0000DF1C0000}"/>
    <cellStyle name="Normal 8 2 3 7 3 2" xfId="14948" xr:uid="{09CBA41F-A18B-4295-880D-C2148E1EC95C}"/>
    <cellStyle name="Normal 8 2 3 7 4" xfId="10730" xr:uid="{5F2F5DB6-DCEE-4819-A352-A0003357172B}"/>
    <cellStyle name="Normal 8 2 3 8" xfId="2635" xr:uid="{00000000-0005-0000-0000-0000E01C0000}"/>
    <cellStyle name="Normal 8 2 3 8 2" xfId="6919" xr:uid="{00000000-0005-0000-0000-0000E11C0000}"/>
    <cellStyle name="Normal 8 2 3 8 2 2" xfId="15361" xr:uid="{8D610F30-29FA-4875-9E25-C66FF5C7E41C}"/>
    <cellStyle name="Normal 8 2 3 8 3" xfId="11143" xr:uid="{37E1DA08-72CB-4F7D-8E1A-882DCCDB07E9}"/>
    <cellStyle name="Normal 8 2 3 9" xfId="4854" xr:uid="{00000000-0005-0000-0000-0000E21C0000}"/>
    <cellStyle name="Normal 8 2 3 9 2" xfId="13296" xr:uid="{AB6D8089-377E-4E74-92B0-54DA54485E3E}"/>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233C707C-5CEC-4BBF-8138-C68854E16A5C}"/>
    <cellStyle name="Normal 8 2 4 2 2 2 3" xfId="11641" xr:uid="{8AE61EC8-CF05-4569-86AD-8C75309C8976}"/>
    <cellStyle name="Normal 8 2 4 2 2 3" xfId="5272" xr:uid="{00000000-0005-0000-0000-0000E81C0000}"/>
    <cellStyle name="Normal 8 2 4 2 2 3 2" xfId="13714" xr:uid="{E80A5C99-4463-4B82-B096-CE71314CC8E5}"/>
    <cellStyle name="Normal 8 2 4 2 2 4" xfId="9496" xr:uid="{313C143E-068B-4CD8-BA4D-EEC0CE62D6C6}"/>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6841BED1-EFCE-48B8-A01B-430486B8242C}"/>
    <cellStyle name="Normal 8 2 4 2 3 2 3" xfId="12054" xr:uid="{CE1B5EA7-CFDB-4BC1-B4A3-96973B689412}"/>
    <cellStyle name="Normal 8 2 4 2 3 3" xfId="5685" xr:uid="{00000000-0005-0000-0000-0000EC1C0000}"/>
    <cellStyle name="Normal 8 2 4 2 3 3 2" xfId="14127" xr:uid="{AF644924-A185-40C5-AEA4-3C17CD64771E}"/>
    <cellStyle name="Normal 8 2 4 2 3 4" xfId="9909" xr:uid="{EEFBB0C0-85E8-4D62-90A9-56CFB8B8F066}"/>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3FCE4336-262F-4AAE-A1A6-509958E45EBB}"/>
    <cellStyle name="Normal 8 2 4 2 4 2 3" xfId="12467" xr:uid="{784D3FFD-CF34-4C89-9E61-45E5798F4C53}"/>
    <cellStyle name="Normal 8 2 4 2 4 3" xfId="6098" xr:uid="{00000000-0005-0000-0000-0000F01C0000}"/>
    <cellStyle name="Normal 8 2 4 2 4 3 2" xfId="14540" xr:uid="{7DED4B25-0700-4557-A6F3-7DB354859410}"/>
    <cellStyle name="Normal 8 2 4 2 4 4" xfId="10322" xr:uid="{6F1BB6A0-51B7-445D-8A45-C81622F2377E}"/>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F2676080-40C4-45B0-9A0C-4BCE2526BF3E}"/>
    <cellStyle name="Normal 8 2 4 2 5 2 3" xfId="12880" xr:uid="{F9011A9A-FD6E-4BE8-A0C5-CD2A78E2FC8D}"/>
    <cellStyle name="Normal 8 2 4 2 5 3" xfId="6511" xr:uid="{00000000-0005-0000-0000-0000F41C0000}"/>
    <cellStyle name="Normal 8 2 4 2 5 3 2" xfId="14953" xr:uid="{4AFDA234-E07D-4497-8967-46223CB38FBA}"/>
    <cellStyle name="Normal 8 2 4 2 5 4" xfId="10735" xr:uid="{C405A1EF-BB36-4C6D-B1DB-BC52EFD4C4D2}"/>
    <cellStyle name="Normal 8 2 4 2 6" xfId="2640" xr:uid="{00000000-0005-0000-0000-0000F51C0000}"/>
    <cellStyle name="Normal 8 2 4 2 6 2" xfId="6924" xr:uid="{00000000-0005-0000-0000-0000F61C0000}"/>
    <cellStyle name="Normal 8 2 4 2 6 2 2" xfId="15366" xr:uid="{DDC700BB-237C-4E1E-A6C3-1A1EFBD2A2B1}"/>
    <cellStyle name="Normal 8 2 4 2 6 3" xfId="11148" xr:uid="{3C9D54D4-D922-43C0-BC25-34E877FDD7A1}"/>
    <cellStyle name="Normal 8 2 4 2 7" xfId="4859" xr:uid="{00000000-0005-0000-0000-0000F71C0000}"/>
    <cellStyle name="Normal 8 2 4 2 7 2" xfId="13301" xr:uid="{895F6E93-3966-4149-8463-B17C013FFC4E}"/>
    <cellStyle name="Normal 8 2 4 2 8" xfId="9083" xr:uid="{1FD0DBC6-5203-4920-B4D3-39100A491E2D}"/>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F3AD942C-D54B-436A-A295-602A33F42663}"/>
    <cellStyle name="Normal 8 2 4 3 2 3" xfId="11640" xr:uid="{B55095C5-0CE6-4F57-924F-04323C1B2DBC}"/>
    <cellStyle name="Normal 8 2 4 3 3" xfId="5271" xr:uid="{00000000-0005-0000-0000-0000FB1C0000}"/>
    <cellStyle name="Normal 8 2 4 3 3 2" xfId="13713" xr:uid="{589E2434-3C39-4873-AE2B-A4F62BEE9E08}"/>
    <cellStyle name="Normal 8 2 4 3 4" xfId="9495" xr:uid="{3D95310E-63A4-4AFB-A4F4-14C9EB55B614}"/>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9D632E72-0BD5-4AC6-B27D-6D390B8500D7}"/>
    <cellStyle name="Normal 8 2 4 4 2 3" xfId="12053" xr:uid="{C2874D29-E3EC-4351-AB3A-5BC908764F6D}"/>
    <cellStyle name="Normal 8 2 4 4 3" xfId="5684" xr:uid="{00000000-0005-0000-0000-0000FF1C0000}"/>
    <cellStyle name="Normal 8 2 4 4 3 2" xfId="14126" xr:uid="{74CB9C21-11DB-47E2-91BB-0673C54C7987}"/>
    <cellStyle name="Normal 8 2 4 4 4" xfId="9908" xr:uid="{6FE6C61B-92B8-4C36-AF50-DB7FBD5D1091}"/>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6BC7DD90-5504-40D1-9526-13A3FC1DD660}"/>
    <cellStyle name="Normal 8 2 4 5 2 3" xfId="12466" xr:uid="{DA60546D-63CC-4ECC-953E-17D943B0E8D7}"/>
    <cellStyle name="Normal 8 2 4 5 3" xfId="6097" xr:uid="{00000000-0005-0000-0000-0000031D0000}"/>
    <cellStyle name="Normal 8 2 4 5 3 2" xfId="14539" xr:uid="{A1FC9315-D5D2-4207-B298-98B806B6528B}"/>
    <cellStyle name="Normal 8 2 4 5 4" xfId="10321" xr:uid="{51369B42-D3A3-4209-9782-B7A7EC98DE0D}"/>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2493AD86-AB03-4828-AC98-4DB36435990C}"/>
    <cellStyle name="Normal 8 2 4 6 2 3" xfId="12879" xr:uid="{9E04133C-447D-4866-BE5A-CF451352DF21}"/>
    <cellStyle name="Normal 8 2 4 6 3" xfId="6510" xr:uid="{00000000-0005-0000-0000-0000071D0000}"/>
    <cellStyle name="Normal 8 2 4 6 3 2" xfId="14952" xr:uid="{6873971F-C9F6-4E87-ACC3-C616B1F5BECD}"/>
    <cellStyle name="Normal 8 2 4 6 4" xfId="10734" xr:uid="{DC9650C1-AA9B-424A-B757-C9286CC8B676}"/>
    <cellStyle name="Normal 8 2 4 7" xfId="2639" xr:uid="{00000000-0005-0000-0000-0000081D0000}"/>
    <cellStyle name="Normal 8 2 4 7 2" xfId="6923" xr:uid="{00000000-0005-0000-0000-0000091D0000}"/>
    <cellStyle name="Normal 8 2 4 7 2 2" xfId="15365" xr:uid="{FDE4D57D-729D-4BB6-A5EB-B898CB33B0E2}"/>
    <cellStyle name="Normal 8 2 4 7 3" xfId="11147" xr:uid="{0AD412AC-02DF-4A35-A3C0-ECA49F6A2F8C}"/>
    <cellStyle name="Normal 8 2 4 8" xfId="4858" xr:uid="{00000000-0005-0000-0000-00000A1D0000}"/>
    <cellStyle name="Normal 8 2 4 8 2" xfId="13300" xr:uid="{43442D52-04A5-463A-9E62-657D6A2021EA}"/>
    <cellStyle name="Normal 8 2 4 9" xfId="9082" xr:uid="{7B97180E-DC93-492B-99A7-3C37CB992B9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8F45666B-2C0B-461B-92D5-20D8EA5434DF}"/>
    <cellStyle name="Normal 8 2 5 2 2 3" xfId="11642" xr:uid="{C4C7F0BC-D7BF-4EB1-A885-E804D7CA7161}"/>
    <cellStyle name="Normal 8 2 5 2 3" xfId="5273" xr:uid="{00000000-0005-0000-0000-00000F1D0000}"/>
    <cellStyle name="Normal 8 2 5 2 3 2" xfId="13715" xr:uid="{E3A39F79-DEEE-40C6-8BB5-C84C9281C366}"/>
    <cellStyle name="Normal 8 2 5 2 4" xfId="9497" xr:uid="{007295DF-E78E-4BA7-BC57-703626C00CFE}"/>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DAC856B5-2F49-4125-86C8-1BBB40820C8B}"/>
    <cellStyle name="Normal 8 2 5 3 2 3" xfId="12055" xr:uid="{C96ED5AC-8B68-49EC-B772-0FB9916068FE}"/>
    <cellStyle name="Normal 8 2 5 3 3" xfId="5686" xr:uid="{00000000-0005-0000-0000-0000131D0000}"/>
    <cellStyle name="Normal 8 2 5 3 3 2" xfId="14128" xr:uid="{BA0097DD-773F-429C-89F0-E1A830D2F736}"/>
    <cellStyle name="Normal 8 2 5 3 4" xfId="9910" xr:uid="{1EE26551-3F20-46B2-8419-AC49EAA113C1}"/>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C837B2F0-6D65-43C3-AA1F-F46995F265CE}"/>
    <cellStyle name="Normal 8 2 5 4 2 3" xfId="12468" xr:uid="{7DEEB5D1-52CB-4B9B-8C51-B450298C86DE}"/>
    <cellStyle name="Normal 8 2 5 4 3" xfId="6099" xr:uid="{00000000-0005-0000-0000-0000171D0000}"/>
    <cellStyle name="Normal 8 2 5 4 3 2" xfId="14541" xr:uid="{6291251D-546D-4707-965E-5D385C69E8CE}"/>
    <cellStyle name="Normal 8 2 5 4 4" xfId="10323" xr:uid="{744E4C6E-509E-4B82-B9FC-C88FCBE30C4A}"/>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C58D8D27-6CB8-46DD-81B3-EC31F6FF5539}"/>
    <cellStyle name="Normal 8 2 5 5 2 3" xfId="12881" xr:uid="{98CA4970-C058-479F-A88B-C7BA702469DC}"/>
    <cellStyle name="Normal 8 2 5 5 3" xfId="6512" xr:uid="{00000000-0005-0000-0000-00001B1D0000}"/>
    <cellStyle name="Normal 8 2 5 5 3 2" xfId="14954" xr:uid="{978EE3DC-FAE2-4AE1-8B68-62D60CAB5791}"/>
    <cellStyle name="Normal 8 2 5 5 4" xfId="10736" xr:uid="{D70FC146-BBB0-4904-B456-5A4C78B8C752}"/>
    <cellStyle name="Normal 8 2 5 6" xfId="2641" xr:uid="{00000000-0005-0000-0000-00001C1D0000}"/>
    <cellStyle name="Normal 8 2 5 6 2" xfId="6925" xr:uid="{00000000-0005-0000-0000-00001D1D0000}"/>
    <cellStyle name="Normal 8 2 5 6 2 2" xfId="15367" xr:uid="{EB6606CD-F1B5-4556-ADC8-34F5B1B6480F}"/>
    <cellStyle name="Normal 8 2 5 6 3" xfId="11149" xr:uid="{B14EE857-0969-45C4-A966-90C3C6CF0782}"/>
    <cellStyle name="Normal 8 2 5 7" xfId="4860" xr:uid="{00000000-0005-0000-0000-00001E1D0000}"/>
    <cellStyle name="Normal 8 2 5 7 2" xfId="13302" xr:uid="{6B8A6264-D7B7-42C8-89FB-3EF2B8C09232}"/>
    <cellStyle name="Normal 8 2 5 8" xfId="9084" xr:uid="{F6DD6309-5370-4AB6-B559-1711328CD1B2}"/>
    <cellStyle name="Normal 8 2 6" xfId="946" xr:uid="{00000000-0005-0000-0000-00001F1D0000}"/>
    <cellStyle name="Normal 8 2 6 2" xfId="3180" xr:uid="{00000000-0005-0000-0000-0000201D0000}"/>
    <cellStyle name="Normal 8 2 6 2 2" xfId="7403" xr:uid="{00000000-0005-0000-0000-0000211D0000}"/>
    <cellStyle name="Normal 8 2 6 2 2 2" xfId="15845" xr:uid="{15074B0D-9DDB-4FE2-867B-7CBBDC96954B}"/>
    <cellStyle name="Normal 8 2 6 2 3" xfId="11627" xr:uid="{4DBAAFDD-CC47-4215-B4DA-3CBB5ADCC854}"/>
    <cellStyle name="Normal 8 2 6 3" xfId="5258" xr:uid="{00000000-0005-0000-0000-0000221D0000}"/>
    <cellStyle name="Normal 8 2 6 3 2" xfId="13700" xr:uid="{B4DC73F6-E292-4D8B-B0E8-87E73E9B9903}"/>
    <cellStyle name="Normal 8 2 6 4" xfId="9482" xr:uid="{771B442D-3AF9-4159-A859-B5086A309ECC}"/>
    <cellStyle name="Normal 8 2 7" xfId="1363" xr:uid="{00000000-0005-0000-0000-0000231D0000}"/>
    <cellStyle name="Normal 8 2 7 2" xfId="3593" xr:uid="{00000000-0005-0000-0000-0000241D0000}"/>
    <cellStyle name="Normal 8 2 7 2 2" xfId="7816" xr:uid="{00000000-0005-0000-0000-0000251D0000}"/>
    <cellStyle name="Normal 8 2 7 2 2 2" xfId="16258" xr:uid="{FC96B408-FDD1-4C7D-8116-986832EE9671}"/>
    <cellStyle name="Normal 8 2 7 2 3" xfId="12040" xr:uid="{A2E41F99-DD36-43AD-B077-E78CE7FFE557}"/>
    <cellStyle name="Normal 8 2 7 3" xfId="5671" xr:uid="{00000000-0005-0000-0000-0000261D0000}"/>
    <cellStyle name="Normal 8 2 7 3 2" xfId="14113" xr:uid="{244041E9-4B4C-43BD-8206-EA5625221B8C}"/>
    <cellStyle name="Normal 8 2 7 4" xfId="9895" xr:uid="{8CDFB3B7-4F1D-4A30-8B1E-313599CC01D6}"/>
    <cellStyle name="Normal 8 2 8" xfId="1776" xr:uid="{00000000-0005-0000-0000-0000271D0000}"/>
    <cellStyle name="Normal 8 2 8 2" xfId="4006" xr:uid="{00000000-0005-0000-0000-0000281D0000}"/>
    <cellStyle name="Normal 8 2 8 2 2" xfId="8229" xr:uid="{00000000-0005-0000-0000-0000291D0000}"/>
    <cellStyle name="Normal 8 2 8 2 2 2" xfId="16671" xr:uid="{F9B9565A-6B7B-4255-BA7E-CFE1A059C24F}"/>
    <cellStyle name="Normal 8 2 8 2 3" xfId="12453" xr:uid="{5CCE43A3-9BF0-4BC5-940D-F15473AAD39E}"/>
    <cellStyle name="Normal 8 2 8 3" xfId="6084" xr:uid="{00000000-0005-0000-0000-00002A1D0000}"/>
    <cellStyle name="Normal 8 2 8 3 2" xfId="14526" xr:uid="{6E6E530D-8004-401E-84BD-8156487FBB0E}"/>
    <cellStyle name="Normal 8 2 8 4" xfId="10308" xr:uid="{64A9B9B9-F7A3-41CF-9105-4047B9F7D493}"/>
    <cellStyle name="Normal 8 2 9" xfId="2190" xr:uid="{00000000-0005-0000-0000-00002B1D0000}"/>
    <cellStyle name="Normal 8 2 9 2" xfId="4419" xr:uid="{00000000-0005-0000-0000-00002C1D0000}"/>
    <cellStyle name="Normal 8 2 9 2 2" xfId="8642" xr:uid="{00000000-0005-0000-0000-00002D1D0000}"/>
    <cellStyle name="Normal 8 2 9 2 2 2" xfId="17084" xr:uid="{73E13A5E-3620-44CC-AC3F-5ADF3196DB94}"/>
    <cellStyle name="Normal 8 2 9 2 3" xfId="12866" xr:uid="{32EA0F12-7BF8-410F-AC41-F89E77B15045}"/>
    <cellStyle name="Normal 8 2 9 3" xfId="6497" xr:uid="{00000000-0005-0000-0000-00002E1D0000}"/>
    <cellStyle name="Normal 8 2 9 3 2" xfId="14939" xr:uid="{05C97F38-900A-4AC6-BABA-38D07AF2BD24}"/>
    <cellStyle name="Normal 8 2 9 4" xfId="10721" xr:uid="{C70A8CCC-10D7-44E6-A559-57F3FC1E965E}"/>
    <cellStyle name="Normal 8 3" xfId="495" xr:uid="{00000000-0005-0000-0000-00002F1D0000}"/>
    <cellStyle name="Normal 8 3 10" xfId="4861" xr:uid="{00000000-0005-0000-0000-0000301D0000}"/>
    <cellStyle name="Normal 8 3 10 2" xfId="13303" xr:uid="{6BEECB2A-D54B-4725-B3A5-1E8A1686281A}"/>
    <cellStyle name="Normal 8 3 11" xfId="9085" xr:uid="{514785FC-139C-43BD-BD1A-703DDA9C9BF8}"/>
    <cellStyle name="Normal 8 3 2" xfId="496" xr:uid="{00000000-0005-0000-0000-0000311D0000}"/>
    <cellStyle name="Normal 8 3 2 10" xfId="9086" xr:uid="{D9C5F3DE-F285-4C77-AEA2-03BAB8BF254D}"/>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4E46DA2A-2F18-42FB-B4DE-A340948E6EE7}"/>
    <cellStyle name="Normal 8 3 2 2 2 2 2 3" xfId="11646" xr:uid="{F71276CC-1A37-40C2-8A38-A386427790B2}"/>
    <cellStyle name="Normal 8 3 2 2 2 2 3" xfId="5277" xr:uid="{00000000-0005-0000-0000-0000371D0000}"/>
    <cellStyle name="Normal 8 3 2 2 2 2 3 2" xfId="13719" xr:uid="{F2693D01-3286-42CE-9D42-3C77FEF389AE}"/>
    <cellStyle name="Normal 8 3 2 2 2 2 4" xfId="9501" xr:uid="{F6B26D35-4F5B-456A-92E0-A20E5043D976}"/>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69752CFE-12FB-48A3-B37F-A0EF8C5C5CAC}"/>
    <cellStyle name="Normal 8 3 2 2 2 3 2 3" xfId="12059" xr:uid="{7573962F-F981-47FA-B07B-1325BB4FF42D}"/>
    <cellStyle name="Normal 8 3 2 2 2 3 3" xfId="5690" xr:uid="{00000000-0005-0000-0000-00003B1D0000}"/>
    <cellStyle name="Normal 8 3 2 2 2 3 3 2" xfId="14132" xr:uid="{E46EF1B5-1BD3-4BEC-9882-85EFAA6AEF4D}"/>
    <cellStyle name="Normal 8 3 2 2 2 3 4" xfId="9914" xr:uid="{3FE729DC-DF01-4EEE-B5B0-1769512444D4}"/>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3823CDB5-7768-4100-A6C7-822371D9C9AD}"/>
    <cellStyle name="Normal 8 3 2 2 2 4 2 3" xfId="12472" xr:uid="{ECDB1A69-C48B-46A0-BBB8-5AE731840DE0}"/>
    <cellStyle name="Normal 8 3 2 2 2 4 3" xfId="6103" xr:uid="{00000000-0005-0000-0000-00003F1D0000}"/>
    <cellStyle name="Normal 8 3 2 2 2 4 3 2" xfId="14545" xr:uid="{421BC611-22C1-4FC8-9568-666181B016D3}"/>
    <cellStyle name="Normal 8 3 2 2 2 4 4" xfId="10327" xr:uid="{E4BC66D2-601B-41CF-AF72-C3186CAFF662}"/>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712694E1-07C6-4EC6-BF75-E6A0984C0738}"/>
    <cellStyle name="Normal 8 3 2 2 2 5 2 3" xfId="12885" xr:uid="{E58561B1-917C-4F8A-8BEA-D64FDD2327B8}"/>
    <cellStyle name="Normal 8 3 2 2 2 5 3" xfId="6516" xr:uid="{00000000-0005-0000-0000-0000431D0000}"/>
    <cellStyle name="Normal 8 3 2 2 2 5 3 2" xfId="14958" xr:uid="{D0E36EEB-5F04-42C5-9FE0-8E1B18D80561}"/>
    <cellStyle name="Normal 8 3 2 2 2 5 4" xfId="10740" xr:uid="{C65D015D-5EB2-4933-86B3-F6F6AF05A757}"/>
    <cellStyle name="Normal 8 3 2 2 2 6" xfId="2645" xr:uid="{00000000-0005-0000-0000-0000441D0000}"/>
    <cellStyle name="Normal 8 3 2 2 2 6 2" xfId="6929" xr:uid="{00000000-0005-0000-0000-0000451D0000}"/>
    <cellStyle name="Normal 8 3 2 2 2 6 2 2" xfId="15371" xr:uid="{AE3FA703-0A1E-4110-BDA7-B154BA0EB4E2}"/>
    <cellStyle name="Normal 8 3 2 2 2 6 3" xfId="11153" xr:uid="{1E9748D7-E854-4C4C-8450-FCA645A5907B}"/>
    <cellStyle name="Normal 8 3 2 2 2 7" xfId="4864" xr:uid="{00000000-0005-0000-0000-0000461D0000}"/>
    <cellStyle name="Normal 8 3 2 2 2 7 2" xfId="13306" xr:uid="{42CEF9C2-CEFA-46C2-9C19-5106A8097588}"/>
    <cellStyle name="Normal 8 3 2 2 2 8" xfId="9088" xr:uid="{A1029E27-735C-4C7A-A222-11590F11B9B0}"/>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C620B783-D230-4E8F-A5EF-F1F41CF2BDD1}"/>
    <cellStyle name="Normal 8 3 2 2 3 2 3" xfId="11645" xr:uid="{A7A86E81-339B-457D-9CEC-3333D1CEB00D}"/>
    <cellStyle name="Normal 8 3 2 2 3 3" xfId="5276" xr:uid="{00000000-0005-0000-0000-00004A1D0000}"/>
    <cellStyle name="Normal 8 3 2 2 3 3 2" xfId="13718" xr:uid="{EC1B8FBB-B3C1-4011-8556-45442F33BDEA}"/>
    <cellStyle name="Normal 8 3 2 2 3 4" xfId="9500" xr:uid="{6545FDEC-51F3-4807-955A-0A0DFCB43BA8}"/>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B6DA5F2A-FA58-47C5-80E0-798CF5D532B9}"/>
    <cellStyle name="Normal 8 3 2 2 4 2 3" xfId="12058" xr:uid="{B161ABF2-1C2D-467B-A301-B87394967B2F}"/>
    <cellStyle name="Normal 8 3 2 2 4 3" xfId="5689" xr:uid="{00000000-0005-0000-0000-00004E1D0000}"/>
    <cellStyle name="Normal 8 3 2 2 4 3 2" xfId="14131" xr:uid="{E6D9EFE9-21CF-4AAD-A018-EF2C97CE7411}"/>
    <cellStyle name="Normal 8 3 2 2 4 4" xfId="9913" xr:uid="{1782B10F-F462-4D6F-8684-5E7096D225A2}"/>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5D8C3926-6DFB-4B2E-AC75-42B70E52D4CA}"/>
    <cellStyle name="Normal 8 3 2 2 5 2 3" xfId="12471" xr:uid="{79C5F0D0-7BD9-4D9E-A46D-9D575431044C}"/>
    <cellStyle name="Normal 8 3 2 2 5 3" xfId="6102" xr:uid="{00000000-0005-0000-0000-0000521D0000}"/>
    <cellStyle name="Normal 8 3 2 2 5 3 2" xfId="14544" xr:uid="{EDE4BBDC-EB1D-4057-8F10-A43086A5E57E}"/>
    <cellStyle name="Normal 8 3 2 2 5 4" xfId="10326" xr:uid="{B43020DB-9782-41D0-8E6D-DB9C71971DF0}"/>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AED6DD52-8E57-41D2-9DEE-3C5ADE0A2150}"/>
    <cellStyle name="Normal 8 3 2 2 6 2 3" xfId="12884" xr:uid="{9FC50C11-A724-4090-BE5C-53696F2FB738}"/>
    <cellStyle name="Normal 8 3 2 2 6 3" xfId="6515" xr:uid="{00000000-0005-0000-0000-0000561D0000}"/>
    <cellStyle name="Normal 8 3 2 2 6 3 2" xfId="14957" xr:uid="{F5D80BC4-7B62-49E7-83DF-10CEB88A863A}"/>
    <cellStyle name="Normal 8 3 2 2 6 4" xfId="10739" xr:uid="{B2E6D980-F02C-4FFF-953A-CAF9ACD9660A}"/>
    <cellStyle name="Normal 8 3 2 2 7" xfId="2644" xr:uid="{00000000-0005-0000-0000-0000571D0000}"/>
    <cellStyle name="Normal 8 3 2 2 7 2" xfId="6928" xr:uid="{00000000-0005-0000-0000-0000581D0000}"/>
    <cellStyle name="Normal 8 3 2 2 7 2 2" xfId="15370" xr:uid="{9EAA0CA4-6EA0-482C-9DD0-107F4522C807}"/>
    <cellStyle name="Normal 8 3 2 2 7 3" xfId="11152" xr:uid="{7D778A77-4086-4178-B25B-A8A950B56962}"/>
    <cellStyle name="Normal 8 3 2 2 8" xfId="4863" xr:uid="{00000000-0005-0000-0000-0000591D0000}"/>
    <cellStyle name="Normal 8 3 2 2 8 2" xfId="13305" xr:uid="{4614B2D3-3963-41E7-8837-984629A9F49D}"/>
    <cellStyle name="Normal 8 3 2 2 9" xfId="9087" xr:uid="{900FB226-5692-4391-9653-CD2BC54B7CE3}"/>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9F19FC4C-4ADC-4406-9599-59755D5CE393}"/>
    <cellStyle name="Normal 8 3 2 3 2 2 3" xfId="11647" xr:uid="{A4215670-C77D-4788-A5F0-2AAF46822556}"/>
    <cellStyle name="Normal 8 3 2 3 2 3" xfId="5278" xr:uid="{00000000-0005-0000-0000-00005E1D0000}"/>
    <cellStyle name="Normal 8 3 2 3 2 3 2" xfId="13720" xr:uid="{12B7BBB3-5DE7-4F35-ABEF-B32F2C6E27C5}"/>
    <cellStyle name="Normal 8 3 2 3 2 4" xfId="9502" xr:uid="{1FB8B085-400F-4B94-95D6-0190A5C81966}"/>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E1326D62-8A62-4F9D-89CA-B8A2D2E30EB0}"/>
    <cellStyle name="Normal 8 3 2 3 3 2 3" xfId="12060" xr:uid="{A581F311-54F5-4160-928B-CC57CF1A257D}"/>
    <cellStyle name="Normal 8 3 2 3 3 3" xfId="5691" xr:uid="{00000000-0005-0000-0000-0000621D0000}"/>
    <cellStyle name="Normal 8 3 2 3 3 3 2" xfId="14133" xr:uid="{BB9A853B-60C9-4E3E-9735-481E24FE3348}"/>
    <cellStyle name="Normal 8 3 2 3 3 4" xfId="9915" xr:uid="{AA400C95-A987-41DA-A28C-F94E2C18EFFB}"/>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A8034FA6-3029-49DF-9F04-805772C121DE}"/>
    <cellStyle name="Normal 8 3 2 3 4 2 3" xfId="12473" xr:uid="{B5A09E7C-7BF8-48D7-BDDD-26EB593A34CC}"/>
    <cellStyle name="Normal 8 3 2 3 4 3" xfId="6104" xr:uid="{00000000-0005-0000-0000-0000661D0000}"/>
    <cellStyle name="Normal 8 3 2 3 4 3 2" xfId="14546" xr:uid="{162ABD34-FE6B-42F2-8235-534F455CD71C}"/>
    <cellStyle name="Normal 8 3 2 3 4 4" xfId="10328" xr:uid="{E9DCF148-AF8E-484D-9E70-2D2C96C82AA0}"/>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753C96A6-9E4B-4531-BF98-FD610C38D068}"/>
    <cellStyle name="Normal 8 3 2 3 5 2 3" xfId="12886" xr:uid="{BBF5D120-9B68-4BA1-A0F6-550C3C5254F6}"/>
    <cellStyle name="Normal 8 3 2 3 5 3" xfId="6517" xr:uid="{00000000-0005-0000-0000-00006A1D0000}"/>
    <cellStyle name="Normal 8 3 2 3 5 3 2" xfId="14959" xr:uid="{F22A831B-E861-404D-B6C0-BC67831787B6}"/>
    <cellStyle name="Normal 8 3 2 3 5 4" xfId="10741" xr:uid="{9C7F1F73-E3CA-44BA-8990-C11DA5E49FEB}"/>
    <cellStyle name="Normal 8 3 2 3 6" xfId="2646" xr:uid="{00000000-0005-0000-0000-00006B1D0000}"/>
    <cellStyle name="Normal 8 3 2 3 6 2" xfId="6930" xr:uid="{00000000-0005-0000-0000-00006C1D0000}"/>
    <cellStyle name="Normal 8 3 2 3 6 2 2" xfId="15372" xr:uid="{BBFB4B60-CA8A-4B7B-9B53-FF0C382C75C9}"/>
    <cellStyle name="Normal 8 3 2 3 6 3" xfId="11154" xr:uid="{E3B5451E-04C2-462F-A712-86F80A985C88}"/>
    <cellStyle name="Normal 8 3 2 3 7" xfId="4865" xr:uid="{00000000-0005-0000-0000-00006D1D0000}"/>
    <cellStyle name="Normal 8 3 2 3 7 2" xfId="13307" xr:uid="{199C1D07-8D8A-46B6-AE8E-CB223E84E571}"/>
    <cellStyle name="Normal 8 3 2 3 8" xfId="9089" xr:uid="{1EAE6647-FED2-4488-8AE7-8F01E1B493A0}"/>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1A2BC05C-5597-4E15-BFD6-37CC1D0175F8}"/>
    <cellStyle name="Normal 8 3 2 4 2 3" xfId="11644" xr:uid="{F6C71579-7F7A-4696-9F66-5C8B67DA7681}"/>
    <cellStyle name="Normal 8 3 2 4 3" xfId="5275" xr:uid="{00000000-0005-0000-0000-0000711D0000}"/>
    <cellStyle name="Normal 8 3 2 4 3 2" xfId="13717" xr:uid="{79AC8624-C450-476A-81EB-16DB832C9CD7}"/>
    <cellStyle name="Normal 8 3 2 4 4" xfId="9499" xr:uid="{FB561E6B-5AA2-466D-AD00-0D751AA697A5}"/>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69D96B0C-0F3D-46F0-9666-630E333516E3}"/>
    <cellStyle name="Normal 8 3 2 5 2 3" xfId="12057" xr:uid="{81333532-F4F0-49AD-B187-3700A4DE6C5B}"/>
    <cellStyle name="Normal 8 3 2 5 3" xfId="5688" xr:uid="{00000000-0005-0000-0000-0000751D0000}"/>
    <cellStyle name="Normal 8 3 2 5 3 2" xfId="14130" xr:uid="{345F4141-A512-4C57-9E79-67823007BB35}"/>
    <cellStyle name="Normal 8 3 2 5 4" xfId="9912" xr:uid="{48AD06CC-4CBE-41A9-B6FC-F355FB903D0A}"/>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A08A7971-2561-4D4C-B7FF-0C84127D6557}"/>
    <cellStyle name="Normal 8 3 2 6 2 3" xfId="12470" xr:uid="{AC571D2B-6E16-48C1-AE57-BF81DA762869}"/>
    <cellStyle name="Normal 8 3 2 6 3" xfId="6101" xr:uid="{00000000-0005-0000-0000-0000791D0000}"/>
    <cellStyle name="Normal 8 3 2 6 3 2" xfId="14543" xr:uid="{070EAE28-BFC2-4534-AA8C-E10237950AA2}"/>
    <cellStyle name="Normal 8 3 2 6 4" xfId="10325" xr:uid="{B1651B03-7212-4BA6-A66A-2B21E0EE166D}"/>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D983F93C-CA97-429D-9D0A-DF76F2D37897}"/>
    <cellStyle name="Normal 8 3 2 7 2 3" xfId="12883" xr:uid="{B81170BF-33EA-4649-954B-ADD9364F2C26}"/>
    <cellStyle name="Normal 8 3 2 7 3" xfId="6514" xr:uid="{00000000-0005-0000-0000-00007D1D0000}"/>
    <cellStyle name="Normal 8 3 2 7 3 2" xfId="14956" xr:uid="{D015449E-98AD-43BA-AA81-42FC164F7DB8}"/>
    <cellStyle name="Normal 8 3 2 7 4" xfId="10738" xr:uid="{360FB3D9-DB60-4E67-BA50-F386B6850608}"/>
    <cellStyle name="Normal 8 3 2 8" xfId="2643" xr:uid="{00000000-0005-0000-0000-00007E1D0000}"/>
    <cellStyle name="Normal 8 3 2 8 2" xfId="6927" xr:uid="{00000000-0005-0000-0000-00007F1D0000}"/>
    <cellStyle name="Normal 8 3 2 8 2 2" xfId="15369" xr:uid="{C84A2302-F420-4B76-8949-FD561C2AEB1F}"/>
    <cellStyle name="Normal 8 3 2 8 3" xfId="11151" xr:uid="{D667A380-FB89-4A81-A298-1149A7BDBE96}"/>
    <cellStyle name="Normal 8 3 2 9" xfId="4862" xr:uid="{00000000-0005-0000-0000-0000801D0000}"/>
    <cellStyle name="Normal 8 3 2 9 2" xfId="13304" xr:uid="{40BC7DB8-DA92-4170-8F9D-6ECE09CEB991}"/>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AE2408C3-58E3-4861-AEBE-2E7879B61889}"/>
    <cellStyle name="Normal 8 3 3 2 2 2 3" xfId="11649" xr:uid="{6150F943-5D3E-4BAE-9AC3-1115E44ED88D}"/>
    <cellStyle name="Normal 8 3 3 2 2 3" xfId="5280" xr:uid="{00000000-0005-0000-0000-0000861D0000}"/>
    <cellStyle name="Normal 8 3 3 2 2 3 2" xfId="13722" xr:uid="{97D34198-58A8-470A-9C43-813236B8D46D}"/>
    <cellStyle name="Normal 8 3 3 2 2 4" xfId="9504" xr:uid="{F3F2F96B-E744-4199-A144-AAF15BC00BE6}"/>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67CBBB15-FA48-4764-971A-C1A9058723FB}"/>
    <cellStyle name="Normal 8 3 3 2 3 2 3" xfId="12062" xr:uid="{4DE8102F-436E-49FC-9CC2-24CB8284D0A4}"/>
    <cellStyle name="Normal 8 3 3 2 3 3" xfId="5693" xr:uid="{00000000-0005-0000-0000-00008A1D0000}"/>
    <cellStyle name="Normal 8 3 3 2 3 3 2" xfId="14135" xr:uid="{85E0CCA6-8F36-4ECF-A174-54E7D2E77A18}"/>
    <cellStyle name="Normal 8 3 3 2 3 4" xfId="9917" xr:uid="{BDDB9E12-2A19-485F-B698-E5DD5C3BD29C}"/>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492D886D-4870-4025-8550-82E5A22C5409}"/>
    <cellStyle name="Normal 8 3 3 2 4 2 3" xfId="12475" xr:uid="{8CD1B2F4-D31B-4303-8CDE-D69BC7157BD2}"/>
    <cellStyle name="Normal 8 3 3 2 4 3" xfId="6106" xr:uid="{00000000-0005-0000-0000-00008E1D0000}"/>
    <cellStyle name="Normal 8 3 3 2 4 3 2" xfId="14548" xr:uid="{9E4BF17B-B8AD-44D4-A4BE-162931CAA704}"/>
    <cellStyle name="Normal 8 3 3 2 4 4" xfId="10330" xr:uid="{AD55A7BC-C1EA-4E02-AE95-1C3FEB9B57C5}"/>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3731B34B-F297-4B51-99DE-1C1CAF5639EA}"/>
    <cellStyle name="Normal 8 3 3 2 5 2 3" xfId="12888" xr:uid="{8C1A957A-B4C0-4BCE-9E01-E2E0EFDFBF4E}"/>
    <cellStyle name="Normal 8 3 3 2 5 3" xfId="6519" xr:uid="{00000000-0005-0000-0000-0000921D0000}"/>
    <cellStyle name="Normal 8 3 3 2 5 3 2" xfId="14961" xr:uid="{5762F782-6FE2-4076-80B9-21328A5B674E}"/>
    <cellStyle name="Normal 8 3 3 2 5 4" xfId="10743" xr:uid="{96A999ED-C353-4AA6-874A-7B286D678666}"/>
    <cellStyle name="Normal 8 3 3 2 6" xfId="2648" xr:uid="{00000000-0005-0000-0000-0000931D0000}"/>
    <cellStyle name="Normal 8 3 3 2 6 2" xfId="6932" xr:uid="{00000000-0005-0000-0000-0000941D0000}"/>
    <cellStyle name="Normal 8 3 3 2 6 2 2" xfId="15374" xr:uid="{1C1CA594-F295-4AF1-ABA0-2D5BA1FD8326}"/>
    <cellStyle name="Normal 8 3 3 2 6 3" xfId="11156" xr:uid="{198EA2EC-F8BD-4F85-8F78-370ABA62FB21}"/>
    <cellStyle name="Normal 8 3 3 2 7" xfId="4867" xr:uid="{00000000-0005-0000-0000-0000951D0000}"/>
    <cellStyle name="Normal 8 3 3 2 7 2" xfId="13309" xr:uid="{341A17D6-2E30-42BF-888A-9EA8FB412D0E}"/>
    <cellStyle name="Normal 8 3 3 2 8" xfId="9091" xr:uid="{C6DEB418-399F-4083-A274-475358EE1789}"/>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03B3EA09-FC13-487C-9A62-44D34FD9A2AF}"/>
    <cellStyle name="Normal 8 3 3 3 2 3" xfId="11648" xr:uid="{52F115B8-0E90-4A97-956C-230E22242209}"/>
    <cellStyle name="Normal 8 3 3 3 3" xfId="5279" xr:uid="{00000000-0005-0000-0000-0000991D0000}"/>
    <cellStyle name="Normal 8 3 3 3 3 2" xfId="13721" xr:uid="{5C625B47-F44D-443D-9E7D-C808AF915272}"/>
    <cellStyle name="Normal 8 3 3 3 4" xfId="9503" xr:uid="{0A70D26B-2F0A-4571-BC21-67C5BFAA174A}"/>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7CEAF622-D30A-46B4-82CE-E27FDBD648A8}"/>
    <cellStyle name="Normal 8 3 3 4 2 3" xfId="12061" xr:uid="{59F2AE20-D23E-4ECD-8423-0472DF7EB2A9}"/>
    <cellStyle name="Normal 8 3 3 4 3" xfId="5692" xr:uid="{00000000-0005-0000-0000-00009D1D0000}"/>
    <cellStyle name="Normal 8 3 3 4 3 2" xfId="14134" xr:uid="{FCB86463-11C1-47F4-8118-866CF2C1B522}"/>
    <cellStyle name="Normal 8 3 3 4 4" xfId="9916" xr:uid="{92A0B6F9-9769-4ED7-8E4F-634765D7267D}"/>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002DCFD9-5CE1-4E61-A6A0-3C8E398D5E04}"/>
    <cellStyle name="Normal 8 3 3 5 2 3" xfId="12474" xr:uid="{56C187C7-BA79-4B48-9AD3-1516CA8EEDEB}"/>
    <cellStyle name="Normal 8 3 3 5 3" xfId="6105" xr:uid="{00000000-0005-0000-0000-0000A11D0000}"/>
    <cellStyle name="Normal 8 3 3 5 3 2" xfId="14547" xr:uid="{58AC8171-D04D-45AC-812C-D73066882F70}"/>
    <cellStyle name="Normal 8 3 3 5 4" xfId="10329" xr:uid="{F1F9962C-09D2-4677-A2A4-4BCBA0C38F45}"/>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B0D9CB0A-B717-4D85-B1F7-F8647EC25315}"/>
    <cellStyle name="Normal 8 3 3 6 2 3" xfId="12887" xr:uid="{3366AD40-2E19-4708-B7B7-FD867CFBA28E}"/>
    <cellStyle name="Normal 8 3 3 6 3" xfId="6518" xr:uid="{00000000-0005-0000-0000-0000A51D0000}"/>
    <cellStyle name="Normal 8 3 3 6 3 2" xfId="14960" xr:uid="{15B26DFA-F673-49A4-AD88-3C478FB12B82}"/>
    <cellStyle name="Normal 8 3 3 6 4" xfId="10742" xr:uid="{79DFDC27-0D29-4B3B-9343-DFFA9900D08B}"/>
    <cellStyle name="Normal 8 3 3 7" xfId="2647" xr:uid="{00000000-0005-0000-0000-0000A61D0000}"/>
    <cellStyle name="Normal 8 3 3 7 2" xfId="6931" xr:uid="{00000000-0005-0000-0000-0000A71D0000}"/>
    <cellStyle name="Normal 8 3 3 7 2 2" xfId="15373" xr:uid="{76911311-4193-46C6-BE0C-ED4511D290D4}"/>
    <cellStyle name="Normal 8 3 3 7 3" xfId="11155" xr:uid="{88DFC428-3758-4B38-B032-1E4E1BC797FC}"/>
    <cellStyle name="Normal 8 3 3 8" xfId="4866" xr:uid="{00000000-0005-0000-0000-0000A81D0000}"/>
    <cellStyle name="Normal 8 3 3 8 2" xfId="13308" xr:uid="{F2980267-E8BC-44F0-898A-DD11A4E54506}"/>
    <cellStyle name="Normal 8 3 3 9" xfId="9090" xr:uid="{077DAEB9-F235-47C8-986F-BCE8A49BB9FF}"/>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4F82187E-D085-403B-B561-1AD82911009D}"/>
    <cellStyle name="Normal 8 3 4 2 2 3" xfId="11650" xr:uid="{6AE0E84C-1DA2-4967-9FF4-6963EEBCE585}"/>
    <cellStyle name="Normal 8 3 4 2 3" xfId="5281" xr:uid="{00000000-0005-0000-0000-0000AD1D0000}"/>
    <cellStyle name="Normal 8 3 4 2 3 2" xfId="13723" xr:uid="{0894BB82-8F4C-4B3A-9A14-EFD83DD9F0C7}"/>
    <cellStyle name="Normal 8 3 4 2 4" xfId="9505" xr:uid="{9800A94D-2F90-4047-9E89-D9418077D7E5}"/>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BA0BA9E0-EF32-4D06-AA60-20293936FDDE}"/>
    <cellStyle name="Normal 8 3 4 3 2 3" xfId="12063" xr:uid="{19502B3E-FF95-4119-9697-BCD5E0E64B52}"/>
    <cellStyle name="Normal 8 3 4 3 3" xfId="5694" xr:uid="{00000000-0005-0000-0000-0000B11D0000}"/>
    <cellStyle name="Normal 8 3 4 3 3 2" xfId="14136" xr:uid="{6837C755-26A1-4EE0-BBAA-8D3881456C91}"/>
    <cellStyle name="Normal 8 3 4 3 4" xfId="9918" xr:uid="{5D9B5485-D32C-492F-B05C-0CCB8839573F}"/>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CEC7B298-80E6-49C1-812A-51713BF57C12}"/>
    <cellStyle name="Normal 8 3 4 4 2 3" xfId="12476" xr:uid="{F02C4269-242D-4117-83A4-7750F6BAF4F5}"/>
    <cellStyle name="Normal 8 3 4 4 3" xfId="6107" xr:uid="{00000000-0005-0000-0000-0000B51D0000}"/>
    <cellStyle name="Normal 8 3 4 4 3 2" xfId="14549" xr:uid="{593E0301-94EA-4B7D-A9CD-5B7743B381A4}"/>
    <cellStyle name="Normal 8 3 4 4 4" xfId="10331" xr:uid="{943BFC9D-D5F9-462A-8E61-BAD57423C912}"/>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11C17D2E-2116-4445-8F56-C4E80A4425D5}"/>
    <cellStyle name="Normal 8 3 4 5 2 3" xfId="12889" xr:uid="{829669FD-A719-4EB5-97C3-91080035F869}"/>
    <cellStyle name="Normal 8 3 4 5 3" xfId="6520" xr:uid="{00000000-0005-0000-0000-0000B91D0000}"/>
    <cellStyle name="Normal 8 3 4 5 3 2" xfId="14962" xr:uid="{9DFE59BC-A209-4344-BBEB-F9858F313B8B}"/>
    <cellStyle name="Normal 8 3 4 5 4" xfId="10744" xr:uid="{00BB01FD-E808-4D38-86B2-14100A96C548}"/>
    <cellStyle name="Normal 8 3 4 6" xfId="2649" xr:uid="{00000000-0005-0000-0000-0000BA1D0000}"/>
    <cellStyle name="Normal 8 3 4 6 2" xfId="6933" xr:uid="{00000000-0005-0000-0000-0000BB1D0000}"/>
    <cellStyle name="Normal 8 3 4 6 2 2" xfId="15375" xr:uid="{CFF1A9F5-3F3C-4FE7-A620-02B4CD304AD8}"/>
    <cellStyle name="Normal 8 3 4 6 3" xfId="11157" xr:uid="{C4BF66BA-C43F-4B74-A751-6CCE1129B1D9}"/>
    <cellStyle name="Normal 8 3 4 7" xfId="4868" xr:uid="{00000000-0005-0000-0000-0000BC1D0000}"/>
    <cellStyle name="Normal 8 3 4 7 2" xfId="13310" xr:uid="{7EEAECE9-35C6-4D5D-9676-15AC825201D7}"/>
    <cellStyle name="Normal 8 3 4 8" xfId="9092" xr:uid="{3C307C17-3868-44B1-95BA-416250F5B756}"/>
    <cellStyle name="Normal 8 3 5" xfId="962" xr:uid="{00000000-0005-0000-0000-0000BD1D0000}"/>
    <cellStyle name="Normal 8 3 5 2" xfId="3196" xr:uid="{00000000-0005-0000-0000-0000BE1D0000}"/>
    <cellStyle name="Normal 8 3 5 2 2" xfId="7419" xr:uid="{00000000-0005-0000-0000-0000BF1D0000}"/>
    <cellStyle name="Normal 8 3 5 2 2 2" xfId="15861" xr:uid="{00363F57-4A70-449B-B365-D0903687C643}"/>
    <cellStyle name="Normal 8 3 5 2 3" xfId="11643" xr:uid="{21759352-1D8C-4A51-A067-A3A710BBE987}"/>
    <cellStyle name="Normal 8 3 5 3" xfId="5274" xr:uid="{00000000-0005-0000-0000-0000C01D0000}"/>
    <cellStyle name="Normal 8 3 5 3 2" xfId="13716" xr:uid="{29ABF467-3E35-4D92-A572-C53344102424}"/>
    <cellStyle name="Normal 8 3 5 4" xfId="9498" xr:uid="{662680EF-C242-4913-B641-01F5527034C5}"/>
    <cellStyle name="Normal 8 3 6" xfId="1379" xr:uid="{00000000-0005-0000-0000-0000C11D0000}"/>
    <cellStyle name="Normal 8 3 6 2" xfId="3609" xr:uid="{00000000-0005-0000-0000-0000C21D0000}"/>
    <cellStyle name="Normal 8 3 6 2 2" xfId="7832" xr:uid="{00000000-0005-0000-0000-0000C31D0000}"/>
    <cellStyle name="Normal 8 3 6 2 2 2" xfId="16274" xr:uid="{1F485502-CEC1-4F25-8480-B6159DBD7FF1}"/>
    <cellStyle name="Normal 8 3 6 2 3" xfId="12056" xr:uid="{892BE25C-C2F8-40F5-A1AB-3CCEE8B94A82}"/>
    <cellStyle name="Normal 8 3 6 3" xfId="5687" xr:uid="{00000000-0005-0000-0000-0000C41D0000}"/>
    <cellStyle name="Normal 8 3 6 3 2" xfId="14129" xr:uid="{4E43DB4B-50EB-4DF5-B1F2-9B7F287E85C4}"/>
    <cellStyle name="Normal 8 3 6 4" xfId="9911" xr:uid="{0AF28797-69DA-45AB-8CA9-73221AFDEC45}"/>
    <cellStyle name="Normal 8 3 7" xfId="1792" xr:uid="{00000000-0005-0000-0000-0000C51D0000}"/>
    <cellStyle name="Normal 8 3 7 2" xfId="4022" xr:uid="{00000000-0005-0000-0000-0000C61D0000}"/>
    <cellStyle name="Normal 8 3 7 2 2" xfId="8245" xr:uid="{00000000-0005-0000-0000-0000C71D0000}"/>
    <cellStyle name="Normal 8 3 7 2 2 2" xfId="16687" xr:uid="{83CDAE60-2F4D-4018-BE56-EFC6BD0027D0}"/>
    <cellStyle name="Normal 8 3 7 2 3" xfId="12469" xr:uid="{564FDF9F-A971-451D-98F8-66DD1B523356}"/>
    <cellStyle name="Normal 8 3 7 3" xfId="6100" xr:uid="{00000000-0005-0000-0000-0000C81D0000}"/>
    <cellStyle name="Normal 8 3 7 3 2" xfId="14542" xr:uid="{30DD1FA3-A105-46C4-83BC-9D135A9EB02D}"/>
    <cellStyle name="Normal 8 3 7 4" xfId="10324" xr:uid="{929D93FC-33C8-4507-B031-5979BE59B828}"/>
    <cellStyle name="Normal 8 3 8" xfId="2206" xr:uid="{00000000-0005-0000-0000-0000C91D0000}"/>
    <cellStyle name="Normal 8 3 8 2" xfId="4435" xr:uid="{00000000-0005-0000-0000-0000CA1D0000}"/>
    <cellStyle name="Normal 8 3 8 2 2" xfId="8658" xr:uid="{00000000-0005-0000-0000-0000CB1D0000}"/>
    <cellStyle name="Normal 8 3 8 2 2 2" xfId="17100" xr:uid="{B4281F92-362C-412F-A426-03D2FC51F321}"/>
    <cellStyle name="Normal 8 3 8 2 3" xfId="12882" xr:uid="{DC4C41B4-3F58-43C8-A33B-B537B226D000}"/>
    <cellStyle name="Normal 8 3 8 3" xfId="6513" xr:uid="{00000000-0005-0000-0000-0000CC1D0000}"/>
    <cellStyle name="Normal 8 3 8 3 2" xfId="14955" xr:uid="{6653C94F-9787-4551-99B6-86702F538609}"/>
    <cellStyle name="Normal 8 3 8 4" xfId="10737" xr:uid="{411F42A2-8040-4AD5-B1EA-9333D8F707DE}"/>
    <cellStyle name="Normal 8 3 9" xfId="2642" xr:uid="{00000000-0005-0000-0000-0000CD1D0000}"/>
    <cellStyle name="Normal 8 3 9 2" xfId="6926" xr:uid="{00000000-0005-0000-0000-0000CE1D0000}"/>
    <cellStyle name="Normal 8 3 9 2 2" xfId="15368" xr:uid="{B345C33A-580D-4964-8562-E98DB8C9342B}"/>
    <cellStyle name="Normal 8 3 9 3" xfId="11150" xr:uid="{B77BF990-ACB5-4009-9284-B04EB91E3979}"/>
    <cellStyle name="Normal 8 4" xfId="503" xr:uid="{00000000-0005-0000-0000-0000CF1D0000}"/>
    <cellStyle name="Normal 8 4 10" xfId="9093" xr:uid="{25BEB528-BE94-4D82-ABDF-E6D8904DB97C}"/>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D1C4649B-FC6C-434B-BF0C-C13339383EED}"/>
    <cellStyle name="Normal 8 4 2 2 2 2 3" xfId="11653" xr:uid="{7B0271D5-2801-4B33-A2D6-CB1016D6CE8C}"/>
    <cellStyle name="Normal 8 4 2 2 2 3" xfId="5284" xr:uid="{00000000-0005-0000-0000-0000D51D0000}"/>
    <cellStyle name="Normal 8 4 2 2 2 3 2" xfId="13726" xr:uid="{994BECA2-35DC-40F8-8123-541ABA7A3AA4}"/>
    <cellStyle name="Normal 8 4 2 2 2 4" xfId="9508" xr:uid="{092D246E-D27E-49F2-B785-466FDAC1C122}"/>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95CED029-4DA6-4C69-AAEF-365A615CF03F}"/>
    <cellStyle name="Normal 8 4 2 2 3 2 3" xfId="12066" xr:uid="{9F5E0E60-B1C3-4DD5-A21D-D9A1E55B233C}"/>
    <cellStyle name="Normal 8 4 2 2 3 3" xfId="5697" xr:uid="{00000000-0005-0000-0000-0000D91D0000}"/>
    <cellStyle name="Normal 8 4 2 2 3 3 2" xfId="14139" xr:uid="{00376AD6-0EC3-4653-BB37-93F1CFADD913}"/>
    <cellStyle name="Normal 8 4 2 2 3 4" xfId="9921" xr:uid="{00359FF1-CAA6-407A-8C7D-6BEE06E60039}"/>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C60D1AE1-A1D4-498C-83BB-2EABE3B4710D}"/>
    <cellStyle name="Normal 8 4 2 2 4 2 3" xfId="12479" xr:uid="{A60A7D8F-168F-411F-A0C4-F9AA29E4ACC5}"/>
    <cellStyle name="Normal 8 4 2 2 4 3" xfId="6110" xr:uid="{00000000-0005-0000-0000-0000DD1D0000}"/>
    <cellStyle name="Normal 8 4 2 2 4 3 2" xfId="14552" xr:uid="{3A7B7C5B-2D3A-4DAD-B80C-81BD9F0BB719}"/>
    <cellStyle name="Normal 8 4 2 2 4 4" xfId="10334" xr:uid="{2426D8E1-6D06-41F0-84D1-C69717D7A326}"/>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59742620-12F6-4743-ABDE-6F6FAE1590D3}"/>
    <cellStyle name="Normal 8 4 2 2 5 2 3" xfId="12892" xr:uid="{D8468FB0-E626-4B4C-9D51-FD4F148B63B4}"/>
    <cellStyle name="Normal 8 4 2 2 5 3" xfId="6523" xr:uid="{00000000-0005-0000-0000-0000E11D0000}"/>
    <cellStyle name="Normal 8 4 2 2 5 3 2" xfId="14965" xr:uid="{23C0C53F-5F3A-4729-A7AB-4BE8940465E9}"/>
    <cellStyle name="Normal 8 4 2 2 5 4" xfId="10747" xr:uid="{0E93C8C9-C1A5-4CB1-8394-EC4D12C14824}"/>
    <cellStyle name="Normal 8 4 2 2 6" xfId="2652" xr:uid="{00000000-0005-0000-0000-0000E21D0000}"/>
    <cellStyle name="Normal 8 4 2 2 6 2" xfId="6936" xr:uid="{00000000-0005-0000-0000-0000E31D0000}"/>
    <cellStyle name="Normal 8 4 2 2 6 2 2" xfId="15378" xr:uid="{CA61B983-7922-436E-9C0D-B4D6AE595D19}"/>
    <cellStyle name="Normal 8 4 2 2 6 3" xfId="11160" xr:uid="{91F9EF61-54DF-4081-AEBD-4DFEFDA9D1F9}"/>
    <cellStyle name="Normal 8 4 2 2 7" xfId="4871" xr:uid="{00000000-0005-0000-0000-0000E41D0000}"/>
    <cellStyle name="Normal 8 4 2 2 7 2" xfId="13313" xr:uid="{A3FFED16-E1F4-49C6-B0E1-8E43D9DBFBC2}"/>
    <cellStyle name="Normal 8 4 2 2 8" xfId="9095" xr:uid="{7C2155C2-28DA-4926-99D8-CCD0FB224A43}"/>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46EF4F56-8619-4CF1-9D2E-AA5EEEFEE5C2}"/>
    <cellStyle name="Normal 8 4 2 3 2 3" xfId="11652" xr:uid="{1C7DD230-B172-48F1-9B84-7F0299D20224}"/>
    <cellStyle name="Normal 8 4 2 3 3" xfId="5283" xr:uid="{00000000-0005-0000-0000-0000E81D0000}"/>
    <cellStyle name="Normal 8 4 2 3 3 2" xfId="13725" xr:uid="{7F316996-BC0F-47BE-9A70-07187B42F219}"/>
    <cellStyle name="Normal 8 4 2 3 4" xfId="9507" xr:uid="{BE5E303B-044B-442C-BD7F-AAB0F7C2A316}"/>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E9DD9247-DC4B-4B14-A752-17C48ED9DA36}"/>
    <cellStyle name="Normal 8 4 2 4 2 3" xfId="12065" xr:uid="{BDB690D2-81DD-4FA0-8BC1-2CC8948415FD}"/>
    <cellStyle name="Normal 8 4 2 4 3" xfId="5696" xr:uid="{00000000-0005-0000-0000-0000EC1D0000}"/>
    <cellStyle name="Normal 8 4 2 4 3 2" xfId="14138" xr:uid="{CD6E93AC-5A63-45D4-A460-A6A453066E1D}"/>
    <cellStyle name="Normal 8 4 2 4 4" xfId="9920" xr:uid="{ED309D49-E8DC-4DEC-9AF4-298A668B68F3}"/>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15FBB327-7C9B-43FB-8A00-7861ED7ADD92}"/>
    <cellStyle name="Normal 8 4 2 5 2 3" xfId="12478" xr:uid="{C4DDDF2B-4BC5-44EA-AB62-F40E7B19C5DA}"/>
    <cellStyle name="Normal 8 4 2 5 3" xfId="6109" xr:uid="{00000000-0005-0000-0000-0000F01D0000}"/>
    <cellStyle name="Normal 8 4 2 5 3 2" xfId="14551" xr:uid="{1BC96B8A-5C1E-4D4B-8ADE-869432CD4566}"/>
    <cellStyle name="Normal 8 4 2 5 4" xfId="10333" xr:uid="{9322E4A1-FACC-4879-A978-8E1FECC40864}"/>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7DAD54AF-C565-4760-8850-5221C1D62207}"/>
    <cellStyle name="Normal 8 4 2 6 2 3" xfId="12891" xr:uid="{2A8455F9-A145-4885-8376-31B9892A4595}"/>
    <cellStyle name="Normal 8 4 2 6 3" xfId="6522" xr:uid="{00000000-0005-0000-0000-0000F41D0000}"/>
    <cellStyle name="Normal 8 4 2 6 3 2" xfId="14964" xr:uid="{16079A83-42F8-42D0-A98B-0C58D40D3687}"/>
    <cellStyle name="Normal 8 4 2 6 4" xfId="10746" xr:uid="{46905AF8-15B6-4265-B6A4-8E3A32138DC3}"/>
    <cellStyle name="Normal 8 4 2 7" xfId="2651" xr:uid="{00000000-0005-0000-0000-0000F51D0000}"/>
    <cellStyle name="Normal 8 4 2 7 2" xfId="6935" xr:uid="{00000000-0005-0000-0000-0000F61D0000}"/>
    <cellStyle name="Normal 8 4 2 7 2 2" xfId="15377" xr:uid="{8D48ECA3-56D1-4538-A9E2-4A1238774D78}"/>
    <cellStyle name="Normal 8 4 2 7 3" xfId="11159" xr:uid="{9EF29625-1A45-4749-8F1A-F5AF3AFAF59F}"/>
    <cellStyle name="Normal 8 4 2 8" xfId="4870" xr:uid="{00000000-0005-0000-0000-0000F71D0000}"/>
    <cellStyle name="Normal 8 4 2 8 2" xfId="13312" xr:uid="{DA9BDF1F-C291-4A67-94A8-1A02A0D82FBE}"/>
    <cellStyle name="Normal 8 4 2 9" xfId="9094" xr:uid="{653157EB-C3A7-4043-9D0C-2C7A3F2E18A1}"/>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4DB05E50-C420-42B8-89C0-328D9B037866}"/>
    <cellStyle name="Normal 8 4 3 2 2 3" xfId="11654" xr:uid="{0847A6F7-A325-4AB9-8835-81F266381B05}"/>
    <cellStyle name="Normal 8 4 3 2 3" xfId="5285" xr:uid="{00000000-0005-0000-0000-0000FC1D0000}"/>
    <cellStyle name="Normal 8 4 3 2 3 2" xfId="13727" xr:uid="{2CB816A9-1611-44B7-A28F-69DF89C370DB}"/>
    <cellStyle name="Normal 8 4 3 2 4" xfId="9509" xr:uid="{25B67CF0-48B8-421F-9A45-D2FC63FDABF7}"/>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B91DB4D3-BAFA-4ED4-A2B8-C18A36E663C3}"/>
    <cellStyle name="Normal 8 4 3 3 2 3" xfId="12067" xr:uid="{E5C99840-4F8E-4259-9FB7-398D38A52DAA}"/>
    <cellStyle name="Normal 8 4 3 3 3" xfId="5698" xr:uid="{00000000-0005-0000-0000-0000001E0000}"/>
    <cellStyle name="Normal 8 4 3 3 3 2" xfId="14140" xr:uid="{2625AC7D-9B8C-455B-BB29-43498313387E}"/>
    <cellStyle name="Normal 8 4 3 3 4" xfId="9922" xr:uid="{AAFFCC2C-FBDC-4986-93C2-070DE0E98BF9}"/>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4CC031C8-1786-455F-BF1E-CD2414C2A76B}"/>
    <cellStyle name="Normal 8 4 3 4 2 3" xfId="12480" xr:uid="{23B2B981-89F6-4A33-AF3B-4C2D4CB00FF1}"/>
    <cellStyle name="Normal 8 4 3 4 3" xfId="6111" xr:uid="{00000000-0005-0000-0000-0000041E0000}"/>
    <cellStyle name="Normal 8 4 3 4 3 2" xfId="14553" xr:uid="{B8D0FFAA-5080-409A-A8DB-DCD992DCB3E6}"/>
    <cellStyle name="Normal 8 4 3 4 4" xfId="10335" xr:uid="{467FFB9E-4A56-452E-8F35-33C451332B53}"/>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B982FD25-0D84-406C-95DD-3EB4E25B6920}"/>
    <cellStyle name="Normal 8 4 3 5 2 3" xfId="12893" xr:uid="{837F517C-E773-4BB0-931E-FFE775D99EA8}"/>
    <cellStyle name="Normal 8 4 3 5 3" xfId="6524" xr:uid="{00000000-0005-0000-0000-0000081E0000}"/>
    <cellStyle name="Normal 8 4 3 5 3 2" xfId="14966" xr:uid="{E4D237D2-CA54-4926-8291-4D0C5C71842B}"/>
    <cellStyle name="Normal 8 4 3 5 4" xfId="10748" xr:uid="{F32092FE-6FA6-4E59-A7D1-85410113275C}"/>
    <cellStyle name="Normal 8 4 3 6" xfId="2653" xr:uid="{00000000-0005-0000-0000-0000091E0000}"/>
    <cellStyle name="Normal 8 4 3 6 2" xfId="6937" xr:uid="{00000000-0005-0000-0000-00000A1E0000}"/>
    <cellStyle name="Normal 8 4 3 6 2 2" xfId="15379" xr:uid="{8BA7585A-617C-429D-AE92-F1E0F6543359}"/>
    <cellStyle name="Normal 8 4 3 6 3" xfId="11161" xr:uid="{AAEA6386-7DAC-4190-88B9-763FEE484106}"/>
    <cellStyle name="Normal 8 4 3 7" xfId="4872" xr:uid="{00000000-0005-0000-0000-00000B1E0000}"/>
    <cellStyle name="Normal 8 4 3 7 2" xfId="13314" xr:uid="{5F7B40EF-A5C4-4DCE-BA9D-BE398D7BFE8A}"/>
    <cellStyle name="Normal 8 4 3 8" xfId="9096" xr:uid="{1524AC2D-182F-4ECB-93DE-E4D9DEDCB541}"/>
    <cellStyle name="Normal 8 4 4" xfId="970" xr:uid="{00000000-0005-0000-0000-00000C1E0000}"/>
    <cellStyle name="Normal 8 4 4 2" xfId="3204" xr:uid="{00000000-0005-0000-0000-00000D1E0000}"/>
    <cellStyle name="Normal 8 4 4 2 2" xfId="7427" xr:uid="{00000000-0005-0000-0000-00000E1E0000}"/>
    <cellStyle name="Normal 8 4 4 2 2 2" xfId="15869" xr:uid="{C7AA8FFA-300E-40AA-9808-C58724D4DA44}"/>
    <cellStyle name="Normal 8 4 4 2 3" xfId="11651" xr:uid="{FAE6C7A4-70F6-4902-839D-7AC22C82A325}"/>
    <cellStyle name="Normal 8 4 4 3" xfId="5282" xr:uid="{00000000-0005-0000-0000-00000F1E0000}"/>
    <cellStyle name="Normal 8 4 4 3 2" xfId="13724" xr:uid="{F5D4AE15-DFF0-4380-A094-9B7C0E9C8BC8}"/>
    <cellStyle name="Normal 8 4 4 4" xfId="9506" xr:uid="{B45BFB5C-8DA3-4906-B423-EA541F7E1040}"/>
    <cellStyle name="Normal 8 4 5" xfId="1387" xr:uid="{00000000-0005-0000-0000-0000101E0000}"/>
    <cellStyle name="Normal 8 4 5 2" xfId="3617" xr:uid="{00000000-0005-0000-0000-0000111E0000}"/>
    <cellStyle name="Normal 8 4 5 2 2" xfId="7840" xr:uid="{00000000-0005-0000-0000-0000121E0000}"/>
    <cellStyle name="Normal 8 4 5 2 2 2" xfId="16282" xr:uid="{B498E934-7FC3-4F85-B553-66323D2C883A}"/>
    <cellStyle name="Normal 8 4 5 2 3" xfId="12064" xr:uid="{195850D6-CAC9-4FFC-BA2C-B283402EC427}"/>
    <cellStyle name="Normal 8 4 5 3" xfId="5695" xr:uid="{00000000-0005-0000-0000-0000131E0000}"/>
    <cellStyle name="Normal 8 4 5 3 2" xfId="14137" xr:uid="{257D47FE-6FB5-442D-800C-4DD7190C9E96}"/>
    <cellStyle name="Normal 8 4 5 4" xfId="9919" xr:uid="{223DE7C2-DD5D-498E-8C58-1D72656790A3}"/>
    <cellStyle name="Normal 8 4 6" xfId="1800" xr:uid="{00000000-0005-0000-0000-0000141E0000}"/>
    <cellStyle name="Normal 8 4 6 2" xfId="4030" xr:uid="{00000000-0005-0000-0000-0000151E0000}"/>
    <cellStyle name="Normal 8 4 6 2 2" xfId="8253" xr:uid="{00000000-0005-0000-0000-0000161E0000}"/>
    <cellStyle name="Normal 8 4 6 2 2 2" xfId="16695" xr:uid="{E5A9F564-E628-44EB-B7BC-2958477E6111}"/>
    <cellStyle name="Normal 8 4 6 2 3" xfId="12477" xr:uid="{9B52BCA1-59CB-400C-A0E5-9B51DBBB8659}"/>
    <cellStyle name="Normal 8 4 6 3" xfId="6108" xr:uid="{00000000-0005-0000-0000-0000171E0000}"/>
    <cellStyle name="Normal 8 4 6 3 2" xfId="14550" xr:uid="{4EF8B2D6-905B-436E-A6FF-DE00F401FC79}"/>
    <cellStyle name="Normal 8 4 6 4" xfId="10332" xr:uid="{7F945151-B5A8-4751-AC89-96A741FEA158}"/>
    <cellStyle name="Normal 8 4 7" xfId="2214" xr:uid="{00000000-0005-0000-0000-0000181E0000}"/>
    <cellStyle name="Normal 8 4 7 2" xfId="4443" xr:uid="{00000000-0005-0000-0000-0000191E0000}"/>
    <cellStyle name="Normal 8 4 7 2 2" xfId="8666" xr:uid="{00000000-0005-0000-0000-00001A1E0000}"/>
    <cellStyle name="Normal 8 4 7 2 2 2" xfId="17108" xr:uid="{5FB5D1A4-AEB3-445D-B80B-FFABACCCFDA6}"/>
    <cellStyle name="Normal 8 4 7 2 3" xfId="12890" xr:uid="{E1A4516C-76DA-4939-9213-96A0CA1E986A}"/>
    <cellStyle name="Normal 8 4 7 3" xfId="6521" xr:uid="{00000000-0005-0000-0000-00001B1E0000}"/>
    <cellStyle name="Normal 8 4 7 3 2" xfId="14963" xr:uid="{23A8724A-9092-474A-B467-8CF2EDFCCCD0}"/>
    <cellStyle name="Normal 8 4 7 4" xfId="10745" xr:uid="{27368C44-DC2C-4239-B4DA-56C2C2F792E6}"/>
    <cellStyle name="Normal 8 4 8" xfId="2650" xr:uid="{00000000-0005-0000-0000-00001C1E0000}"/>
    <cellStyle name="Normal 8 4 8 2" xfId="6934" xr:uid="{00000000-0005-0000-0000-00001D1E0000}"/>
    <cellStyle name="Normal 8 4 8 2 2" xfId="15376" xr:uid="{BC17ADC0-7E1B-4880-B449-56086A4271A8}"/>
    <cellStyle name="Normal 8 4 8 3" xfId="11158" xr:uid="{F84559A7-831A-4458-A191-EEA1894627C4}"/>
    <cellStyle name="Normal 8 4 9" xfId="4869" xr:uid="{00000000-0005-0000-0000-00001E1E0000}"/>
    <cellStyle name="Normal 8 4 9 2" xfId="13311" xr:uid="{1C1624F4-F9F5-47E3-9669-9AC65F7AB6F4}"/>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EE496AA3-F538-4925-9EB8-77C6EDB9168F}"/>
    <cellStyle name="Normal 8 5 2 2 2 3" xfId="11656" xr:uid="{41A5C94C-BC4A-4527-A495-0EC5E0AEF74B}"/>
    <cellStyle name="Normal 8 5 2 2 3" xfId="5287" xr:uid="{00000000-0005-0000-0000-0000241E0000}"/>
    <cellStyle name="Normal 8 5 2 2 3 2" xfId="13729" xr:uid="{DC461D0F-498A-44BF-8D9F-B2E05EC3CB2C}"/>
    <cellStyle name="Normal 8 5 2 2 4" xfId="9511" xr:uid="{D3270BE8-2402-4E7B-9158-2FA45AE745BC}"/>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A9513594-298A-40BD-91A7-E1EAE97CBAF0}"/>
    <cellStyle name="Normal 8 5 2 3 2 3" xfId="12069" xr:uid="{2E8831BF-1587-4891-B6F7-837B3B27B66E}"/>
    <cellStyle name="Normal 8 5 2 3 3" xfId="5700" xr:uid="{00000000-0005-0000-0000-0000281E0000}"/>
    <cellStyle name="Normal 8 5 2 3 3 2" xfId="14142" xr:uid="{4B60A4C4-DE7A-46FA-9156-EC943C791B8A}"/>
    <cellStyle name="Normal 8 5 2 3 4" xfId="9924" xr:uid="{A80B1329-A448-4E2D-947F-5DED7DD8AE48}"/>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21F32672-C2F0-47A1-A906-FD11A4B9E921}"/>
    <cellStyle name="Normal 8 5 2 4 2 3" xfId="12482" xr:uid="{1C568912-54BD-4806-AF88-ABF0FD86A23B}"/>
    <cellStyle name="Normal 8 5 2 4 3" xfId="6113" xr:uid="{00000000-0005-0000-0000-00002C1E0000}"/>
    <cellStyle name="Normal 8 5 2 4 3 2" xfId="14555" xr:uid="{8762D88B-EAEB-4906-9E2D-23FB55F2A3DF}"/>
    <cellStyle name="Normal 8 5 2 4 4" xfId="10337" xr:uid="{B1B81C5F-7CD2-4835-859D-9D89DACB02DE}"/>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73583D77-1F7A-4C6C-A65B-297231093143}"/>
    <cellStyle name="Normal 8 5 2 5 2 3" xfId="12895" xr:uid="{1668472B-505B-4C39-BBEF-638AD68F7C01}"/>
    <cellStyle name="Normal 8 5 2 5 3" xfId="6526" xr:uid="{00000000-0005-0000-0000-0000301E0000}"/>
    <cellStyle name="Normal 8 5 2 5 3 2" xfId="14968" xr:uid="{208A5080-4A43-4FD4-BF55-53C64228C8DA}"/>
    <cellStyle name="Normal 8 5 2 5 4" xfId="10750" xr:uid="{EE687902-BF03-4D2C-9586-371B8E3925A2}"/>
    <cellStyle name="Normal 8 5 2 6" xfId="2655" xr:uid="{00000000-0005-0000-0000-0000311E0000}"/>
    <cellStyle name="Normal 8 5 2 6 2" xfId="6939" xr:uid="{00000000-0005-0000-0000-0000321E0000}"/>
    <cellStyle name="Normal 8 5 2 6 2 2" xfId="15381" xr:uid="{8DC9B116-CAD8-44F7-8AB7-5968C2149709}"/>
    <cellStyle name="Normal 8 5 2 6 3" xfId="11163" xr:uid="{61F05AF5-4332-45A2-81B5-49F17EF6118C}"/>
    <cellStyle name="Normal 8 5 2 7" xfId="4874" xr:uid="{00000000-0005-0000-0000-0000331E0000}"/>
    <cellStyle name="Normal 8 5 2 7 2" xfId="13316" xr:uid="{63BEBB8F-64CB-4D7E-8817-8D94371CE7CB}"/>
    <cellStyle name="Normal 8 5 2 8" xfId="9098" xr:uid="{76264147-9143-4240-973D-27B9AB0E855A}"/>
    <cellStyle name="Normal 8 5 3" xfId="974" xr:uid="{00000000-0005-0000-0000-0000341E0000}"/>
    <cellStyle name="Normal 8 5 3 2" xfId="3208" xr:uid="{00000000-0005-0000-0000-0000351E0000}"/>
    <cellStyle name="Normal 8 5 3 2 2" xfId="7431" xr:uid="{00000000-0005-0000-0000-0000361E0000}"/>
    <cellStyle name="Normal 8 5 3 2 2 2" xfId="15873" xr:uid="{A8332699-2658-43E7-A51F-F42669C679D0}"/>
    <cellStyle name="Normal 8 5 3 2 3" xfId="11655" xr:uid="{B3EDA8A3-0843-47D8-9FAD-A57E34C5124B}"/>
    <cellStyle name="Normal 8 5 3 3" xfId="5286" xr:uid="{00000000-0005-0000-0000-0000371E0000}"/>
    <cellStyle name="Normal 8 5 3 3 2" xfId="13728" xr:uid="{37DD0D27-00FF-4A41-8DCE-4B26BEA3D2B1}"/>
    <cellStyle name="Normal 8 5 3 4" xfId="9510" xr:uid="{795AA52C-5680-4E7B-AA92-A5EE89CFC9BC}"/>
    <cellStyle name="Normal 8 5 4" xfId="1391" xr:uid="{00000000-0005-0000-0000-0000381E0000}"/>
    <cellStyle name="Normal 8 5 4 2" xfId="3621" xr:uid="{00000000-0005-0000-0000-0000391E0000}"/>
    <cellStyle name="Normal 8 5 4 2 2" xfId="7844" xr:uid="{00000000-0005-0000-0000-00003A1E0000}"/>
    <cellStyle name="Normal 8 5 4 2 2 2" xfId="16286" xr:uid="{691A2EEE-0AB0-4B93-91DE-78232E462118}"/>
    <cellStyle name="Normal 8 5 4 2 3" xfId="12068" xr:uid="{56ADE8F7-088C-4FE7-91FD-E2404BD9D41C}"/>
    <cellStyle name="Normal 8 5 4 3" xfId="5699" xr:uid="{00000000-0005-0000-0000-00003B1E0000}"/>
    <cellStyle name="Normal 8 5 4 3 2" xfId="14141" xr:uid="{D7740546-65E9-49E0-B8FF-0F4784DA671A}"/>
    <cellStyle name="Normal 8 5 4 4" xfId="9923" xr:uid="{6604FB04-2C03-4865-AFB1-27F2BE598664}"/>
    <cellStyle name="Normal 8 5 5" xfId="1804" xr:uid="{00000000-0005-0000-0000-00003C1E0000}"/>
    <cellStyle name="Normal 8 5 5 2" xfId="4034" xr:uid="{00000000-0005-0000-0000-00003D1E0000}"/>
    <cellStyle name="Normal 8 5 5 2 2" xfId="8257" xr:uid="{00000000-0005-0000-0000-00003E1E0000}"/>
    <cellStyle name="Normal 8 5 5 2 2 2" xfId="16699" xr:uid="{2B7975DE-CF24-40EA-8388-AA00331F6120}"/>
    <cellStyle name="Normal 8 5 5 2 3" xfId="12481" xr:uid="{5EE6E4CB-2391-406E-87DF-9B2B8C02EEFA}"/>
    <cellStyle name="Normal 8 5 5 3" xfId="6112" xr:uid="{00000000-0005-0000-0000-00003F1E0000}"/>
    <cellStyle name="Normal 8 5 5 3 2" xfId="14554" xr:uid="{374F3B88-9B89-4E60-8CEB-A9FD7A6800FA}"/>
    <cellStyle name="Normal 8 5 5 4" xfId="10336" xr:uid="{E6E4DC10-FFF7-4406-BB99-55B180F2FD08}"/>
    <cellStyle name="Normal 8 5 6" xfId="2218" xr:uid="{00000000-0005-0000-0000-0000401E0000}"/>
    <cellStyle name="Normal 8 5 6 2" xfId="4447" xr:uid="{00000000-0005-0000-0000-0000411E0000}"/>
    <cellStyle name="Normal 8 5 6 2 2" xfId="8670" xr:uid="{00000000-0005-0000-0000-0000421E0000}"/>
    <cellStyle name="Normal 8 5 6 2 2 2" xfId="17112" xr:uid="{8D4A4181-6962-4C32-93EB-F706ED63F009}"/>
    <cellStyle name="Normal 8 5 6 2 3" xfId="12894" xr:uid="{C02298FD-4800-48B6-9546-686B2DC6C902}"/>
    <cellStyle name="Normal 8 5 6 3" xfId="6525" xr:uid="{00000000-0005-0000-0000-0000431E0000}"/>
    <cellStyle name="Normal 8 5 6 3 2" xfId="14967" xr:uid="{6DA2FB4E-9188-40DA-9A8E-42437D7AD46C}"/>
    <cellStyle name="Normal 8 5 6 4" xfId="10749" xr:uid="{EECB03B1-21B5-4010-9266-D6D385EDE0C6}"/>
    <cellStyle name="Normal 8 5 7" xfId="2654" xr:uid="{00000000-0005-0000-0000-0000441E0000}"/>
    <cellStyle name="Normal 8 5 7 2" xfId="6938" xr:uid="{00000000-0005-0000-0000-0000451E0000}"/>
    <cellStyle name="Normal 8 5 7 2 2" xfId="15380" xr:uid="{DA7343DC-644A-4756-96DA-93F61B5112FB}"/>
    <cellStyle name="Normal 8 5 7 3" xfId="11162" xr:uid="{92A3E324-0BDB-45FA-9BF7-BF3963F99A14}"/>
    <cellStyle name="Normal 8 5 8" xfId="4873" xr:uid="{00000000-0005-0000-0000-0000461E0000}"/>
    <cellStyle name="Normal 8 5 8 2" xfId="13315" xr:uid="{0766AB44-E2FC-4C9E-950F-E74977362048}"/>
    <cellStyle name="Normal 8 5 9" xfId="9097" xr:uid="{09B4D288-8DD7-411A-80D4-4029E0E0B969}"/>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2DC83620-DE1A-4154-9E6A-6995B6CEFC5B}"/>
    <cellStyle name="Normal 8 6 2 2 3" xfId="11657" xr:uid="{60C210B9-BED5-4205-8C79-C9C2B351AA3A}"/>
    <cellStyle name="Normal 8 6 2 3" xfId="5288" xr:uid="{00000000-0005-0000-0000-00004B1E0000}"/>
    <cellStyle name="Normal 8 6 2 3 2" xfId="13730" xr:uid="{1F78729A-E81D-4462-A9B7-9879FD0C579C}"/>
    <cellStyle name="Normal 8 6 2 4" xfId="9512" xr:uid="{4DBAED68-A1D4-4364-BD59-FB3E6C6980A2}"/>
    <cellStyle name="Normal 8 6 3" xfId="1393" xr:uid="{00000000-0005-0000-0000-00004C1E0000}"/>
    <cellStyle name="Normal 8 6 3 2" xfId="3623" xr:uid="{00000000-0005-0000-0000-00004D1E0000}"/>
    <cellStyle name="Normal 8 6 3 2 2" xfId="7846" xr:uid="{00000000-0005-0000-0000-00004E1E0000}"/>
    <cellStyle name="Normal 8 6 3 2 2 2" xfId="16288" xr:uid="{4DED4DAD-DB0D-4024-B659-4271AB0F16DE}"/>
    <cellStyle name="Normal 8 6 3 2 3" xfId="12070" xr:uid="{9AA21EB1-CD84-4882-8E4B-3937A249FFAA}"/>
    <cellStyle name="Normal 8 6 3 3" xfId="5701" xr:uid="{00000000-0005-0000-0000-00004F1E0000}"/>
    <cellStyle name="Normal 8 6 3 3 2" xfId="14143" xr:uid="{DEF6005D-904A-4CC6-B82D-5F466DE35C59}"/>
    <cellStyle name="Normal 8 6 3 4" xfId="9925" xr:uid="{83D5FE9E-CBCD-4433-913A-1B5364EE360A}"/>
    <cellStyle name="Normal 8 6 4" xfId="1806" xr:uid="{00000000-0005-0000-0000-0000501E0000}"/>
    <cellStyle name="Normal 8 6 4 2" xfId="4036" xr:uid="{00000000-0005-0000-0000-0000511E0000}"/>
    <cellStyle name="Normal 8 6 4 2 2" xfId="8259" xr:uid="{00000000-0005-0000-0000-0000521E0000}"/>
    <cellStyle name="Normal 8 6 4 2 2 2" xfId="16701" xr:uid="{87A88EEE-AE2B-4B45-8A73-19741229F275}"/>
    <cellStyle name="Normal 8 6 4 2 3" xfId="12483" xr:uid="{B5241D50-C627-48DD-9970-5AEA27D8FD01}"/>
    <cellStyle name="Normal 8 6 4 3" xfId="6114" xr:uid="{00000000-0005-0000-0000-0000531E0000}"/>
    <cellStyle name="Normal 8 6 4 3 2" xfId="14556" xr:uid="{C24576DF-724C-4305-A462-98A6C71B44AD}"/>
    <cellStyle name="Normal 8 6 4 4" xfId="10338" xr:uid="{22664187-510C-4465-82BF-88D437A2A143}"/>
    <cellStyle name="Normal 8 6 5" xfId="2220" xr:uid="{00000000-0005-0000-0000-0000541E0000}"/>
    <cellStyle name="Normal 8 6 5 2" xfId="4449" xr:uid="{00000000-0005-0000-0000-0000551E0000}"/>
    <cellStyle name="Normal 8 6 5 2 2" xfId="8672" xr:uid="{00000000-0005-0000-0000-0000561E0000}"/>
    <cellStyle name="Normal 8 6 5 2 2 2" xfId="17114" xr:uid="{AA0903B9-C132-4A44-BC33-99E6D8B7506A}"/>
    <cellStyle name="Normal 8 6 5 2 3" xfId="12896" xr:uid="{CD377306-1BF9-4ABD-AA35-7B931C12D0C5}"/>
    <cellStyle name="Normal 8 6 5 3" xfId="6527" xr:uid="{00000000-0005-0000-0000-0000571E0000}"/>
    <cellStyle name="Normal 8 6 5 3 2" xfId="14969" xr:uid="{9789FD54-C3D8-4EA2-A856-98A5F8D6EBAE}"/>
    <cellStyle name="Normal 8 6 5 4" xfId="10751" xr:uid="{E5D6A589-07B5-4F94-B55C-7C907C0EED31}"/>
    <cellStyle name="Normal 8 6 6" xfId="2656" xr:uid="{00000000-0005-0000-0000-0000581E0000}"/>
    <cellStyle name="Normal 8 6 6 2" xfId="6940" xr:uid="{00000000-0005-0000-0000-0000591E0000}"/>
    <cellStyle name="Normal 8 6 6 2 2" xfId="15382" xr:uid="{8EFA7174-2A2B-4D63-B3B7-4A8C57DDBC2E}"/>
    <cellStyle name="Normal 8 6 6 3" xfId="11164" xr:uid="{72BA1EF7-8EA2-4140-B4C6-EB77A1B8B657}"/>
    <cellStyle name="Normal 8 6 7" xfId="4875" xr:uid="{00000000-0005-0000-0000-00005A1E0000}"/>
    <cellStyle name="Normal 8 6 7 2" xfId="13317" xr:uid="{D474F247-0574-4108-B55C-BED8E67DE8D0}"/>
    <cellStyle name="Normal 8 6 8" xfId="9099" xr:uid="{2D2BF8C8-F9C4-44D4-AFC9-4EDCCED1D53C}"/>
    <cellStyle name="Normal 8 7" xfId="945" xr:uid="{00000000-0005-0000-0000-00005B1E0000}"/>
    <cellStyle name="Normal 8 7 2" xfId="3179" xr:uid="{00000000-0005-0000-0000-00005C1E0000}"/>
    <cellStyle name="Normal 8 7 2 2" xfId="7402" xr:uid="{00000000-0005-0000-0000-00005D1E0000}"/>
    <cellStyle name="Normal 8 7 2 2 2" xfId="15844" xr:uid="{6D29DE68-7795-4208-BE6C-0E3BD08B7626}"/>
    <cellStyle name="Normal 8 7 2 3" xfId="11626" xr:uid="{64CB56BD-C91F-4AB1-88FD-9059D703F0E3}"/>
    <cellStyle name="Normal 8 7 3" xfId="5257" xr:uid="{00000000-0005-0000-0000-00005E1E0000}"/>
    <cellStyle name="Normal 8 7 3 2" xfId="13699" xr:uid="{6FF716C5-D3D8-4D8D-8D4B-05832F3C82F4}"/>
    <cellStyle name="Normal 8 7 4" xfId="9481" xr:uid="{30AEDC70-96E7-42DB-85C4-5E6464A41402}"/>
    <cellStyle name="Normal 8 8" xfId="1362" xr:uid="{00000000-0005-0000-0000-00005F1E0000}"/>
    <cellStyle name="Normal 8 8 2" xfId="3592" xr:uid="{00000000-0005-0000-0000-0000601E0000}"/>
    <cellStyle name="Normal 8 8 2 2" xfId="7815" xr:uid="{00000000-0005-0000-0000-0000611E0000}"/>
    <cellStyle name="Normal 8 8 2 2 2" xfId="16257" xr:uid="{E55A2552-7252-4FAC-970D-CB66A70FF118}"/>
    <cellStyle name="Normal 8 8 2 3" xfId="12039" xr:uid="{297CA0C5-D4C7-4AE6-8842-C399AB811D00}"/>
    <cellStyle name="Normal 8 8 3" xfId="5670" xr:uid="{00000000-0005-0000-0000-0000621E0000}"/>
    <cellStyle name="Normal 8 8 3 2" xfId="14112" xr:uid="{65EF21E4-EC99-42BB-AB1D-6BCE03003F99}"/>
    <cellStyle name="Normal 8 8 4" xfId="9894" xr:uid="{18054A51-1602-4648-B265-F7201DFB1DB4}"/>
    <cellStyle name="Normal 8 9" xfId="1775" xr:uid="{00000000-0005-0000-0000-0000631E0000}"/>
    <cellStyle name="Normal 8 9 2" xfId="4005" xr:uid="{00000000-0005-0000-0000-0000641E0000}"/>
    <cellStyle name="Normal 8 9 2 2" xfId="8228" xr:uid="{00000000-0005-0000-0000-0000651E0000}"/>
    <cellStyle name="Normal 8 9 2 2 2" xfId="16670" xr:uid="{3D8F4B83-1BAB-44D9-9352-E90094416691}"/>
    <cellStyle name="Normal 8 9 2 3" xfId="12452" xr:uid="{6A02E078-C904-471D-BC97-C22E21A48714}"/>
    <cellStyle name="Normal 8 9 3" xfId="6083" xr:uid="{00000000-0005-0000-0000-0000661E0000}"/>
    <cellStyle name="Normal 8 9 3 2" xfId="14525" xr:uid="{AF58D789-5AA9-49B0-9D7C-D722A0371AE0}"/>
    <cellStyle name="Normal 8 9 4" xfId="10307" xr:uid="{72B8F317-3FF1-43A1-B07D-1ECBDB712D11}"/>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2AF9B1A5-17AD-409C-84E2-932000BCFE1F}"/>
    <cellStyle name="Normal 9 2 10 3" xfId="11165" xr:uid="{A32DBB54-B0AF-4700-9FE4-86C92745F1F4}"/>
    <cellStyle name="Normal 9 2 11" xfId="4876" xr:uid="{00000000-0005-0000-0000-00006B1E0000}"/>
    <cellStyle name="Normal 9 2 11 2" xfId="13318" xr:uid="{C14C38D2-EA87-478B-8B8A-51A1C90F5BE9}"/>
    <cellStyle name="Normal 9 2 12" xfId="9100" xr:uid="{70EAEB3B-E43B-4C4B-A797-F274C6594318}"/>
    <cellStyle name="Normal 9 2 2" xfId="512" xr:uid="{00000000-0005-0000-0000-00006C1E0000}"/>
    <cellStyle name="Normal 9 2 2 10" xfId="4877" xr:uid="{00000000-0005-0000-0000-00006D1E0000}"/>
    <cellStyle name="Normal 9 2 2 10 2" xfId="13319" xr:uid="{D8452953-2C6B-4161-9D80-26880D9D3C20}"/>
    <cellStyle name="Normal 9 2 2 11" xfId="9101" xr:uid="{31D44484-1DD9-4B00-A86D-9C4E8DB1BFEF}"/>
    <cellStyle name="Normal 9 2 2 2" xfId="513" xr:uid="{00000000-0005-0000-0000-00006E1E0000}"/>
    <cellStyle name="Normal 9 2 2 2 10" xfId="9102" xr:uid="{F057D6BF-85BF-4320-B7CE-C9F006B87D2E}"/>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A67027FA-03A3-4F44-A72B-E4375E22D880}"/>
    <cellStyle name="Normal 9 2 2 2 2 2 2 2 3" xfId="11662" xr:uid="{3075046F-07F1-401B-9E65-98E6EE74B303}"/>
    <cellStyle name="Normal 9 2 2 2 2 2 2 3" xfId="5293" xr:uid="{00000000-0005-0000-0000-0000741E0000}"/>
    <cellStyle name="Normal 9 2 2 2 2 2 2 3 2" xfId="13735" xr:uid="{F9ECB1DF-F974-4D03-8F5F-672AD2A2195E}"/>
    <cellStyle name="Normal 9 2 2 2 2 2 2 4" xfId="9517" xr:uid="{C1CF8023-B5CB-47D5-915E-A736E599C056}"/>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B1863E66-56AA-4B56-8E38-B68CA3A347D9}"/>
    <cellStyle name="Normal 9 2 2 2 2 2 3 2 3" xfId="12075" xr:uid="{FE98E7E3-6A41-4AD0-BBA4-5412E0A8A570}"/>
    <cellStyle name="Normal 9 2 2 2 2 2 3 3" xfId="5706" xr:uid="{00000000-0005-0000-0000-0000781E0000}"/>
    <cellStyle name="Normal 9 2 2 2 2 2 3 3 2" xfId="14148" xr:uid="{1E77E157-D2FF-4308-8A2E-427AF045AB2B}"/>
    <cellStyle name="Normal 9 2 2 2 2 2 3 4" xfId="9930" xr:uid="{6E7787D1-1B8C-4DB6-B301-894F80019FCC}"/>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01AE8A73-5C18-416C-80B1-338127895173}"/>
    <cellStyle name="Normal 9 2 2 2 2 2 4 2 3" xfId="12488" xr:uid="{42F722D4-B866-49DA-9264-50C9C999CC3D}"/>
    <cellStyle name="Normal 9 2 2 2 2 2 4 3" xfId="6119" xr:uid="{00000000-0005-0000-0000-00007C1E0000}"/>
    <cellStyle name="Normal 9 2 2 2 2 2 4 3 2" xfId="14561" xr:uid="{C2EE9C0D-ABFA-4A4A-8E33-509FA66DBC11}"/>
    <cellStyle name="Normal 9 2 2 2 2 2 4 4" xfId="10343" xr:uid="{4B45A561-90EE-4C2F-A649-CD36A4615427}"/>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D8447304-DDDC-4979-BED4-EA00E7000505}"/>
    <cellStyle name="Normal 9 2 2 2 2 2 5 2 3" xfId="12901" xr:uid="{C8D350E9-63F3-4E88-9A44-C716DB845056}"/>
    <cellStyle name="Normal 9 2 2 2 2 2 5 3" xfId="6532" xr:uid="{00000000-0005-0000-0000-0000801E0000}"/>
    <cellStyle name="Normal 9 2 2 2 2 2 5 3 2" xfId="14974" xr:uid="{51A11270-D656-4841-981C-86F25C18821D}"/>
    <cellStyle name="Normal 9 2 2 2 2 2 5 4" xfId="10756" xr:uid="{15688646-D927-49A0-AE91-AFD9E7B5D43E}"/>
    <cellStyle name="Normal 9 2 2 2 2 2 6" xfId="2661" xr:uid="{00000000-0005-0000-0000-0000811E0000}"/>
    <cellStyle name="Normal 9 2 2 2 2 2 6 2" xfId="6945" xr:uid="{00000000-0005-0000-0000-0000821E0000}"/>
    <cellStyle name="Normal 9 2 2 2 2 2 6 2 2" xfId="15387" xr:uid="{F9D24780-AA37-4413-BB5C-1F4506878E2F}"/>
    <cellStyle name="Normal 9 2 2 2 2 2 6 3" xfId="11169" xr:uid="{28227885-CC30-436C-927B-0AA803AA2EF8}"/>
    <cellStyle name="Normal 9 2 2 2 2 2 7" xfId="4880" xr:uid="{00000000-0005-0000-0000-0000831E0000}"/>
    <cellStyle name="Normal 9 2 2 2 2 2 7 2" xfId="13322" xr:uid="{90166C13-9113-46FD-BB36-6F31DC474CAB}"/>
    <cellStyle name="Normal 9 2 2 2 2 2 8" xfId="9104" xr:uid="{046157F7-7DC4-42AD-AF3F-7E83FEFBD239}"/>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CDFD4D3C-9981-4344-A6A3-90EBDA3CE2D7}"/>
    <cellStyle name="Normal 9 2 2 2 2 3 2 3" xfId="11661" xr:uid="{BCE7FD9C-69BA-43B7-876B-B9E9D591B598}"/>
    <cellStyle name="Normal 9 2 2 2 2 3 3" xfId="5292" xr:uid="{00000000-0005-0000-0000-0000871E0000}"/>
    <cellStyle name="Normal 9 2 2 2 2 3 3 2" xfId="13734" xr:uid="{831BC80F-685B-4E2A-859A-B1731367EEF7}"/>
    <cellStyle name="Normal 9 2 2 2 2 3 4" xfId="9516" xr:uid="{679D94BF-05AA-4607-B387-D74A65331004}"/>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A527B044-2335-40CD-B4A9-F240FB823D83}"/>
    <cellStyle name="Normal 9 2 2 2 2 4 2 3" xfId="12074" xr:uid="{F49EA5D9-1FB6-4936-B152-AB6F9E067306}"/>
    <cellStyle name="Normal 9 2 2 2 2 4 3" xfId="5705" xr:uid="{00000000-0005-0000-0000-00008B1E0000}"/>
    <cellStyle name="Normal 9 2 2 2 2 4 3 2" xfId="14147" xr:uid="{2EF4377D-257E-4121-A17F-94208A32F69F}"/>
    <cellStyle name="Normal 9 2 2 2 2 4 4" xfId="9929" xr:uid="{CB247E5E-B429-4FF3-8A52-C2D1BC4A593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77A4BBFA-E3AE-49B5-9C81-623BEC56E236}"/>
    <cellStyle name="Normal 9 2 2 2 2 5 2 3" xfId="12487" xr:uid="{67678B99-2045-4622-A9A9-02FB44D3980D}"/>
    <cellStyle name="Normal 9 2 2 2 2 5 3" xfId="6118" xr:uid="{00000000-0005-0000-0000-00008F1E0000}"/>
    <cellStyle name="Normal 9 2 2 2 2 5 3 2" xfId="14560" xr:uid="{2BE3D787-6EE2-46E8-8AFA-666083432FBC}"/>
    <cellStyle name="Normal 9 2 2 2 2 5 4" xfId="10342" xr:uid="{773EC974-6FE2-465A-9F41-14FC9D9ED19F}"/>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E4A89C99-435D-452D-A58A-414CC25DD9D0}"/>
    <cellStyle name="Normal 9 2 2 2 2 6 2 3" xfId="12900" xr:uid="{881AEC40-164D-49F0-97A4-A55CAF5E8BAC}"/>
    <cellStyle name="Normal 9 2 2 2 2 6 3" xfId="6531" xr:uid="{00000000-0005-0000-0000-0000931E0000}"/>
    <cellStyle name="Normal 9 2 2 2 2 6 3 2" xfId="14973" xr:uid="{299B6CD2-97E5-448E-908C-AF586F6FE41D}"/>
    <cellStyle name="Normal 9 2 2 2 2 6 4" xfId="10755" xr:uid="{0D61CB90-CACD-4C99-B171-840C48583916}"/>
    <cellStyle name="Normal 9 2 2 2 2 7" xfId="2660" xr:uid="{00000000-0005-0000-0000-0000941E0000}"/>
    <cellStyle name="Normal 9 2 2 2 2 7 2" xfId="6944" xr:uid="{00000000-0005-0000-0000-0000951E0000}"/>
    <cellStyle name="Normal 9 2 2 2 2 7 2 2" xfId="15386" xr:uid="{30A5B1D5-246E-43C7-A9CA-2E0337D43A08}"/>
    <cellStyle name="Normal 9 2 2 2 2 7 3" xfId="11168" xr:uid="{A134FB00-2975-4409-8128-AD9E87038AB2}"/>
    <cellStyle name="Normal 9 2 2 2 2 8" xfId="4879" xr:uid="{00000000-0005-0000-0000-0000961E0000}"/>
    <cellStyle name="Normal 9 2 2 2 2 8 2" xfId="13321" xr:uid="{88AF670C-C897-4C86-85ED-7581B755E623}"/>
    <cellStyle name="Normal 9 2 2 2 2 9" xfId="9103" xr:uid="{1DA71395-FFD1-4AC9-B1D3-3B58EF7ADC46}"/>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81F97543-5590-4E49-B69F-5DF03A1FA6DD}"/>
    <cellStyle name="Normal 9 2 2 2 3 2 2 3" xfId="11663" xr:uid="{514AF7FF-6AF1-4A71-A52D-639FE79FF35D}"/>
    <cellStyle name="Normal 9 2 2 2 3 2 3" xfId="5294" xr:uid="{00000000-0005-0000-0000-00009B1E0000}"/>
    <cellStyle name="Normal 9 2 2 2 3 2 3 2" xfId="13736" xr:uid="{1559FBC8-EC5B-4CFB-A257-A9EE2031EB70}"/>
    <cellStyle name="Normal 9 2 2 2 3 2 4" xfId="9518" xr:uid="{8B2B210A-5694-4349-BEC2-0BC6A8BAEEB9}"/>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D1833F4E-E6A9-431D-9E49-2F64B06E91BE}"/>
    <cellStyle name="Normal 9 2 2 2 3 3 2 3" xfId="12076" xr:uid="{68567C91-4256-4F36-8B50-9A236944D019}"/>
    <cellStyle name="Normal 9 2 2 2 3 3 3" xfId="5707" xr:uid="{00000000-0005-0000-0000-00009F1E0000}"/>
    <cellStyle name="Normal 9 2 2 2 3 3 3 2" xfId="14149" xr:uid="{CCAFA0D1-11C6-42FA-86F8-18C890D63F47}"/>
    <cellStyle name="Normal 9 2 2 2 3 3 4" xfId="9931" xr:uid="{FEA17E52-B393-49A3-81BB-C40C5A92C004}"/>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15F0AECE-12FA-4012-AFDC-4375F6D02243}"/>
    <cellStyle name="Normal 9 2 2 2 3 4 2 3" xfId="12489" xr:uid="{64139742-4531-4270-A529-9E184D1C5274}"/>
    <cellStyle name="Normal 9 2 2 2 3 4 3" xfId="6120" xr:uid="{00000000-0005-0000-0000-0000A31E0000}"/>
    <cellStyle name="Normal 9 2 2 2 3 4 3 2" xfId="14562" xr:uid="{A2041AFF-A4D4-47FE-82BF-7AA9C79463A8}"/>
    <cellStyle name="Normal 9 2 2 2 3 4 4" xfId="10344" xr:uid="{5DF291E1-6698-4EAC-808D-AABF99A49A2B}"/>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F35EC97F-7286-4A13-8868-53B7660C4E3B}"/>
    <cellStyle name="Normal 9 2 2 2 3 5 2 3" xfId="12902" xr:uid="{681074E0-32D3-43F8-83EC-8A6F2D321732}"/>
    <cellStyle name="Normal 9 2 2 2 3 5 3" xfId="6533" xr:uid="{00000000-0005-0000-0000-0000A71E0000}"/>
    <cellStyle name="Normal 9 2 2 2 3 5 3 2" xfId="14975" xr:uid="{37C2CD96-34A5-40BB-90F1-B561EFDEAE9E}"/>
    <cellStyle name="Normal 9 2 2 2 3 5 4" xfId="10757" xr:uid="{A0E77914-4810-40BC-A71E-87D8E15E3514}"/>
    <cellStyle name="Normal 9 2 2 2 3 6" xfId="2662" xr:uid="{00000000-0005-0000-0000-0000A81E0000}"/>
    <cellStyle name="Normal 9 2 2 2 3 6 2" xfId="6946" xr:uid="{00000000-0005-0000-0000-0000A91E0000}"/>
    <cellStyle name="Normal 9 2 2 2 3 6 2 2" xfId="15388" xr:uid="{BAA14B7E-38FC-4318-B7FF-7D2608034B24}"/>
    <cellStyle name="Normal 9 2 2 2 3 6 3" xfId="11170" xr:uid="{35B07D34-A896-4A84-AB6A-E17568FC4160}"/>
    <cellStyle name="Normal 9 2 2 2 3 7" xfId="4881" xr:uid="{00000000-0005-0000-0000-0000AA1E0000}"/>
    <cellStyle name="Normal 9 2 2 2 3 7 2" xfId="13323" xr:uid="{AD18070B-F7B8-4A5A-9688-8E518E43DBC0}"/>
    <cellStyle name="Normal 9 2 2 2 3 8" xfId="9105" xr:uid="{5AF123B5-746D-4E73-A2C7-BDC33B320D15}"/>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FF65259F-499B-4753-9C88-C36C87D9F8B0}"/>
    <cellStyle name="Normal 9 2 2 2 4 2 3" xfId="11660" xr:uid="{D1DF476A-6E08-4CD9-8F5F-660FED20C9C1}"/>
    <cellStyle name="Normal 9 2 2 2 4 3" xfId="5291" xr:uid="{00000000-0005-0000-0000-0000AE1E0000}"/>
    <cellStyle name="Normal 9 2 2 2 4 3 2" xfId="13733" xr:uid="{7D0C9BF2-04F2-4085-8C9B-6802454F0951}"/>
    <cellStyle name="Normal 9 2 2 2 4 4" xfId="9515" xr:uid="{CD5F3C7F-DBE3-4756-ABB2-825464EFAF57}"/>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3D7DB2C1-1EFB-4855-A8AA-9555F5EB4173}"/>
    <cellStyle name="Normal 9 2 2 2 5 2 3" xfId="12073" xr:uid="{230942D3-AC09-4704-904C-9760A73D015C}"/>
    <cellStyle name="Normal 9 2 2 2 5 3" xfId="5704" xr:uid="{00000000-0005-0000-0000-0000B21E0000}"/>
    <cellStyle name="Normal 9 2 2 2 5 3 2" xfId="14146" xr:uid="{5BAAE9D0-E032-4568-A572-DB84A7701E5F}"/>
    <cellStyle name="Normal 9 2 2 2 5 4" xfId="9928" xr:uid="{E5A15E48-85E2-41F4-B5EB-5F4317A9BDE6}"/>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9BE6FE0B-C87A-4774-806C-FC82C454D2C9}"/>
    <cellStyle name="Normal 9 2 2 2 6 2 3" xfId="12486" xr:uid="{338B30E0-4835-4A26-A140-2F9AB0406D1E}"/>
    <cellStyle name="Normal 9 2 2 2 6 3" xfId="6117" xr:uid="{00000000-0005-0000-0000-0000B61E0000}"/>
    <cellStyle name="Normal 9 2 2 2 6 3 2" xfId="14559" xr:uid="{9FC79D10-7C42-48B8-BC45-EC4C6D89702F}"/>
    <cellStyle name="Normal 9 2 2 2 6 4" xfId="10341" xr:uid="{BA222029-33FC-4959-B1A5-4BD0E7537457}"/>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D2EA1218-D831-48A7-ABC3-F31CD7AE3E0F}"/>
    <cellStyle name="Normal 9 2 2 2 7 2 3" xfId="12899" xr:uid="{D66FD80A-E3CE-4C0E-83BC-57850BFBDEC8}"/>
    <cellStyle name="Normal 9 2 2 2 7 3" xfId="6530" xr:uid="{00000000-0005-0000-0000-0000BA1E0000}"/>
    <cellStyle name="Normal 9 2 2 2 7 3 2" xfId="14972" xr:uid="{66889950-6F99-4A05-BDF4-8C5CEAE87E4F}"/>
    <cellStyle name="Normal 9 2 2 2 7 4" xfId="10754" xr:uid="{6E26FB1A-F758-4ACD-AA31-D5333E556745}"/>
    <cellStyle name="Normal 9 2 2 2 8" xfId="2659" xr:uid="{00000000-0005-0000-0000-0000BB1E0000}"/>
    <cellStyle name="Normal 9 2 2 2 8 2" xfId="6943" xr:uid="{00000000-0005-0000-0000-0000BC1E0000}"/>
    <cellStyle name="Normal 9 2 2 2 8 2 2" xfId="15385" xr:uid="{25F510BD-F12D-46AC-BE02-9F2A3FAF930E}"/>
    <cellStyle name="Normal 9 2 2 2 8 3" xfId="11167" xr:uid="{4032BA56-58F1-40AF-B5D4-5FB4C6BC47C6}"/>
    <cellStyle name="Normal 9 2 2 2 9" xfId="4878" xr:uid="{00000000-0005-0000-0000-0000BD1E0000}"/>
    <cellStyle name="Normal 9 2 2 2 9 2" xfId="13320" xr:uid="{D8FB088E-6591-4C37-9FBF-4F9926347217}"/>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19F739CF-3E2D-4B04-B4CF-F80006875F38}"/>
    <cellStyle name="Normal 9 2 2 3 2 2 2 3" xfId="11665" xr:uid="{63B58CA4-62E9-46D0-921E-5B3968B0F193}"/>
    <cellStyle name="Normal 9 2 2 3 2 2 3" xfId="5296" xr:uid="{00000000-0005-0000-0000-0000C31E0000}"/>
    <cellStyle name="Normal 9 2 2 3 2 2 3 2" xfId="13738" xr:uid="{94EA65AC-4C7E-4942-B7F4-8AF4592E60B2}"/>
    <cellStyle name="Normal 9 2 2 3 2 2 4" xfId="9520" xr:uid="{CA170B28-E066-40B2-8780-248159688DBA}"/>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D95598AD-0604-4D2B-8C4A-A78268CAFBB9}"/>
    <cellStyle name="Normal 9 2 2 3 2 3 2 3" xfId="12078" xr:uid="{1B5F799F-8BC7-4A56-885E-6037C788C4D2}"/>
    <cellStyle name="Normal 9 2 2 3 2 3 3" xfId="5709" xr:uid="{00000000-0005-0000-0000-0000C71E0000}"/>
    <cellStyle name="Normal 9 2 2 3 2 3 3 2" xfId="14151" xr:uid="{4DFB7590-7997-4354-B2C3-12A7DE66A734}"/>
    <cellStyle name="Normal 9 2 2 3 2 3 4" xfId="9933" xr:uid="{0BA7E03D-F509-4D9D-8D7E-986F21473BED}"/>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C9F66482-D306-4CB9-9869-ABC59E6C24F0}"/>
    <cellStyle name="Normal 9 2 2 3 2 4 2 3" xfId="12491" xr:uid="{46ACCE3A-0DE8-47D0-970F-1AA254D35B17}"/>
    <cellStyle name="Normal 9 2 2 3 2 4 3" xfId="6122" xr:uid="{00000000-0005-0000-0000-0000CB1E0000}"/>
    <cellStyle name="Normal 9 2 2 3 2 4 3 2" xfId="14564" xr:uid="{CE9E37F4-2165-4E57-B2AD-46ED89D04BE5}"/>
    <cellStyle name="Normal 9 2 2 3 2 4 4" xfId="10346" xr:uid="{74084DC8-1737-4867-85D0-A4C9309F9BC5}"/>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8F58B231-0FBC-4374-B517-4074CEE860ED}"/>
    <cellStyle name="Normal 9 2 2 3 2 5 2 3" xfId="12904" xr:uid="{F9A9DD2C-1F8A-4B15-B40E-E063B626B7F4}"/>
    <cellStyle name="Normal 9 2 2 3 2 5 3" xfId="6535" xr:uid="{00000000-0005-0000-0000-0000CF1E0000}"/>
    <cellStyle name="Normal 9 2 2 3 2 5 3 2" xfId="14977" xr:uid="{456FC13D-3672-4960-9A6C-3C7E68F8523A}"/>
    <cellStyle name="Normal 9 2 2 3 2 5 4" xfId="10759" xr:uid="{90AFD7BB-2D61-4228-AD09-0C220D1061F4}"/>
    <cellStyle name="Normal 9 2 2 3 2 6" xfId="2664" xr:uid="{00000000-0005-0000-0000-0000D01E0000}"/>
    <cellStyle name="Normal 9 2 2 3 2 6 2" xfId="6948" xr:uid="{00000000-0005-0000-0000-0000D11E0000}"/>
    <cellStyle name="Normal 9 2 2 3 2 6 2 2" xfId="15390" xr:uid="{7D067DC3-7212-4206-8D1E-5FD1A168413E}"/>
    <cellStyle name="Normal 9 2 2 3 2 6 3" xfId="11172" xr:uid="{52A606EC-EF32-4B64-AC00-D7F674FE9DEB}"/>
    <cellStyle name="Normal 9 2 2 3 2 7" xfId="4883" xr:uid="{00000000-0005-0000-0000-0000D21E0000}"/>
    <cellStyle name="Normal 9 2 2 3 2 7 2" xfId="13325" xr:uid="{DFBBEDB7-E67F-41CA-A0A3-58AA428612CE}"/>
    <cellStyle name="Normal 9 2 2 3 2 8" xfId="9107" xr:uid="{29DB811B-7ABC-4FAE-92A0-8A1C1E2B527C}"/>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E8E2C596-73F8-47A6-A651-51C5C8ABBD92}"/>
    <cellStyle name="Normal 9 2 2 3 3 2 3" xfId="11664" xr:uid="{934EAAF1-6B70-4C14-9F7D-CC73018A5F06}"/>
    <cellStyle name="Normal 9 2 2 3 3 3" xfId="5295" xr:uid="{00000000-0005-0000-0000-0000D61E0000}"/>
    <cellStyle name="Normal 9 2 2 3 3 3 2" xfId="13737" xr:uid="{4B5A18A9-14A3-4B96-A95A-DEAE768C7AB7}"/>
    <cellStyle name="Normal 9 2 2 3 3 4" xfId="9519" xr:uid="{BC63D34D-0FC7-4330-BD1A-9CE44C332832}"/>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98FC6DF1-DF79-4CE5-B9FC-3CF0B61C9F87}"/>
    <cellStyle name="Normal 9 2 2 3 4 2 3" xfId="12077" xr:uid="{0836CF12-96B0-4303-8F41-0754F8F6D995}"/>
    <cellStyle name="Normal 9 2 2 3 4 3" xfId="5708" xr:uid="{00000000-0005-0000-0000-0000DA1E0000}"/>
    <cellStyle name="Normal 9 2 2 3 4 3 2" xfId="14150" xr:uid="{1B1FA579-9291-4588-937F-9773BD86F8AE}"/>
    <cellStyle name="Normal 9 2 2 3 4 4" xfId="9932" xr:uid="{5A0E6391-D72D-4A0E-8971-AD1AA85A2F83}"/>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8563D24B-6256-4F7B-A514-5AAE48DBFCE1}"/>
    <cellStyle name="Normal 9 2 2 3 5 2 3" xfId="12490" xr:uid="{CF975468-4490-4853-9F79-1C324EC73B47}"/>
    <cellStyle name="Normal 9 2 2 3 5 3" xfId="6121" xr:uid="{00000000-0005-0000-0000-0000DE1E0000}"/>
    <cellStyle name="Normal 9 2 2 3 5 3 2" xfId="14563" xr:uid="{9B3C8B8D-E5D3-4A83-9445-39534CFC8F0C}"/>
    <cellStyle name="Normal 9 2 2 3 5 4" xfId="10345" xr:uid="{A352DDE6-6AB7-4DF7-BD44-B11B53C3C033}"/>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4ECD3FB6-2323-47E7-B1A1-C165B49A6265}"/>
    <cellStyle name="Normal 9 2 2 3 6 2 3" xfId="12903" xr:uid="{3815EC64-EF56-4ECA-9D25-2FAC2A55DDC3}"/>
    <cellStyle name="Normal 9 2 2 3 6 3" xfId="6534" xr:uid="{00000000-0005-0000-0000-0000E21E0000}"/>
    <cellStyle name="Normal 9 2 2 3 6 3 2" xfId="14976" xr:uid="{C1B6FA2E-C38A-461C-A530-58C137CD0272}"/>
    <cellStyle name="Normal 9 2 2 3 6 4" xfId="10758" xr:uid="{BB352563-A392-4CE7-8174-193259EF0420}"/>
    <cellStyle name="Normal 9 2 2 3 7" xfId="2663" xr:uid="{00000000-0005-0000-0000-0000E31E0000}"/>
    <cellStyle name="Normal 9 2 2 3 7 2" xfId="6947" xr:uid="{00000000-0005-0000-0000-0000E41E0000}"/>
    <cellStyle name="Normal 9 2 2 3 7 2 2" xfId="15389" xr:uid="{8CDA4659-2A8A-4F79-9E2B-A46E55325B7B}"/>
    <cellStyle name="Normal 9 2 2 3 7 3" xfId="11171" xr:uid="{36A83B6D-5033-4F25-B23F-8C6C741A1136}"/>
    <cellStyle name="Normal 9 2 2 3 8" xfId="4882" xr:uid="{00000000-0005-0000-0000-0000E51E0000}"/>
    <cellStyle name="Normal 9 2 2 3 8 2" xfId="13324" xr:uid="{DF21AEFF-3913-4E6C-915D-763D88A84FDB}"/>
    <cellStyle name="Normal 9 2 2 3 9" xfId="9106" xr:uid="{C9320D29-7EDB-4A3D-B3B6-10917F02292E}"/>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A93ECCC9-BA59-4D3C-8678-666B18F8AAC9}"/>
    <cellStyle name="Normal 9 2 2 4 2 2 3" xfId="11666" xr:uid="{B2B3CA41-2018-4678-9285-2BE99805BA57}"/>
    <cellStyle name="Normal 9 2 2 4 2 3" xfId="5297" xr:uid="{00000000-0005-0000-0000-0000EA1E0000}"/>
    <cellStyle name="Normal 9 2 2 4 2 3 2" xfId="13739" xr:uid="{F6CD7035-2B67-4292-8F67-73A1EF3D8337}"/>
    <cellStyle name="Normal 9 2 2 4 2 4" xfId="9521" xr:uid="{96060968-EE5A-40B7-A7EA-0CE3D128B20C}"/>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C94396C4-6B9E-41B1-BCF9-ACFBB80CA9DD}"/>
    <cellStyle name="Normal 9 2 2 4 3 2 3" xfId="12079" xr:uid="{2586BCCC-4E22-4171-B0C1-8F7CFFF60F8D}"/>
    <cellStyle name="Normal 9 2 2 4 3 3" xfId="5710" xr:uid="{00000000-0005-0000-0000-0000EE1E0000}"/>
    <cellStyle name="Normal 9 2 2 4 3 3 2" xfId="14152" xr:uid="{4FDAC9D5-4D57-49E2-8117-42A358B32A23}"/>
    <cellStyle name="Normal 9 2 2 4 3 4" xfId="9934" xr:uid="{D455186A-52EB-49E3-B255-72AAF16F5A02}"/>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0B919343-B91B-468F-84C5-675845CFBF45}"/>
    <cellStyle name="Normal 9 2 2 4 4 2 3" xfId="12492" xr:uid="{547AB690-30B1-4FD0-909D-566112F729D2}"/>
    <cellStyle name="Normal 9 2 2 4 4 3" xfId="6123" xr:uid="{00000000-0005-0000-0000-0000F21E0000}"/>
    <cellStyle name="Normal 9 2 2 4 4 3 2" xfId="14565" xr:uid="{C0C5B2A6-715C-4319-9D45-00A66084CCFF}"/>
    <cellStyle name="Normal 9 2 2 4 4 4" xfId="10347" xr:uid="{9EE4956B-7A61-4CB1-82EC-BA403E20F4BA}"/>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2F1B35F7-94D7-4F59-AE07-6998F663ACDA}"/>
    <cellStyle name="Normal 9 2 2 4 5 2 3" xfId="12905" xr:uid="{BFA09E9E-8611-420F-8117-9031DFDE32D9}"/>
    <cellStyle name="Normal 9 2 2 4 5 3" xfId="6536" xr:uid="{00000000-0005-0000-0000-0000F61E0000}"/>
    <cellStyle name="Normal 9 2 2 4 5 3 2" xfId="14978" xr:uid="{A30FF36C-C12C-4987-AB35-5B3B75238E1E}"/>
    <cellStyle name="Normal 9 2 2 4 5 4" xfId="10760" xr:uid="{A23152F4-3535-4FC9-BF89-BCAA3908F76D}"/>
    <cellStyle name="Normal 9 2 2 4 6" xfId="2665" xr:uid="{00000000-0005-0000-0000-0000F71E0000}"/>
    <cellStyle name="Normal 9 2 2 4 6 2" xfId="6949" xr:uid="{00000000-0005-0000-0000-0000F81E0000}"/>
    <cellStyle name="Normal 9 2 2 4 6 2 2" xfId="15391" xr:uid="{01F05820-2B99-4BAA-AB39-DAFF7C5F8521}"/>
    <cellStyle name="Normal 9 2 2 4 6 3" xfId="11173" xr:uid="{052D6BC9-C140-48A8-836D-DDF9E0B66CEB}"/>
    <cellStyle name="Normal 9 2 2 4 7" xfId="4884" xr:uid="{00000000-0005-0000-0000-0000F91E0000}"/>
    <cellStyle name="Normal 9 2 2 4 7 2" xfId="13326" xr:uid="{149AC4C9-37E5-4C5E-B5E1-26DE3EB86A45}"/>
    <cellStyle name="Normal 9 2 2 4 8" xfId="9108" xr:uid="{EC494D42-E11A-4E39-B1A4-2E0B7BB99E96}"/>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8380F9A4-3305-48BD-98A5-88A1D91B424F}"/>
    <cellStyle name="Normal 9 2 2 5 2 3" xfId="11659" xr:uid="{4B309E46-DBF0-406F-A8E5-A3DCB197431B}"/>
    <cellStyle name="Normal 9 2 2 5 3" xfId="5290" xr:uid="{00000000-0005-0000-0000-0000FD1E0000}"/>
    <cellStyle name="Normal 9 2 2 5 3 2" xfId="13732" xr:uid="{02C55445-27F2-40BA-B4F8-7CF6C42AC1EA}"/>
    <cellStyle name="Normal 9 2 2 5 4" xfId="9514" xr:uid="{A21511B9-C919-4821-B5B7-6A9BFB512F1F}"/>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60031704-7C74-4F69-BDAB-98EA0BD2B658}"/>
    <cellStyle name="Normal 9 2 2 6 2 3" xfId="12072" xr:uid="{47E4A0EA-37E7-4654-BF36-DFCB6B2D00F2}"/>
    <cellStyle name="Normal 9 2 2 6 3" xfId="5703" xr:uid="{00000000-0005-0000-0000-0000011F0000}"/>
    <cellStyle name="Normal 9 2 2 6 3 2" xfId="14145" xr:uid="{D7724C89-48D1-4766-B632-D8B0D666D383}"/>
    <cellStyle name="Normal 9 2 2 6 4" xfId="9927" xr:uid="{E1846DB8-E381-412E-B70E-1EBFB6BA8005}"/>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1D20E265-4FB4-45EE-B609-C9643F14814A}"/>
    <cellStyle name="Normal 9 2 2 7 2 3" xfId="12485" xr:uid="{CCAC1320-3504-4684-8F49-8D5736E79704}"/>
    <cellStyle name="Normal 9 2 2 7 3" xfId="6116" xr:uid="{00000000-0005-0000-0000-0000051F0000}"/>
    <cellStyle name="Normal 9 2 2 7 3 2" xfId="14558" xr:uid="{B1F9765F-4F4F-46F7-B332-5CBD8F392359}"/>
    <cellStyle name="Normal 9 2 2 7 4" xfId="10340" xr:uid="{EA17D962-7F0E-4C5F-AFFF-F973800C4C49}"/>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CAA745A8-C2B5-4BFD-A3CC-112CFBDCD84B}"/>
    <cellStyle name="Normal 9 2 2 8 2 3" xfId="12898" xr:uid="{4523E756-0A3F-4A80-92F3-BC4A38F748A4}"/>
    <cellStyle name="Normal 9 2 2 8 3" xfId="6529" xr:uid="{00000000-0005-0000-0000-0000091F0000}"/>
    <cellStyle name="Normal 9 2 2 8 3 2" xfId="14971" xr:uid="{4081857F-39C1-4B4C-8669-C832D362FA4C}"/>
    <cellStyle name="Normal 9 2 2 8 4" xfId="10753" xr:uid="{87BD3828-72BA-44F9-8DCE-25255EE0B2E1}"/>
    <cellStyle name="Normal 9 2 2 9" xfId="2658" xr:uid="{00000000-0005-0000-0000-00000A1F0000}"/>
    <cellStyle name="Normal 9 2 2 9 2" xfId="6942" xr:uid="{00000000-0005-0000-0000-00000B1F0000}"/>
    <cellStyle name="Normal 9 2 2 9 2 2" xfId="15384" xr:uid="{634128BE-3629-4AA1-B0EE-E102EDDEB9B2}"/>
    <cellStyle name="Normal 9 2 2 9 3" xfId="11166" xr:uid="{51BB16B4-A277-471E-AE60-DD7166FEE8BF}"/>
    <cellStyle name="Normal 9 2 3" xfId="520" xr:uid="{00000000-0005-0000-0000-00000C1F0000}"/>
    <cellStyle name="Normal 9 2 3 10" xfId="9109" xr:uid="{2F96E2C2-A36B-4EAF-9959-29BE2589A423}"/>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261FDBEF-33B8-4A2E-B90E-AB624C36D120}"/>
    <cellStyle name="Normal 9 2 3 2 2 2 2 3" xfId="11669" xr:uid="{459876EE-C15B-4199-93F3-67F8F58067CF}"/>
    <cellStyle name="Normal 9 2 3 2 2 2 3" xfId="5300" xr:uid="{00000000-0005-0000-0000-0000121F0000}"/>
    <cellStyle name="Normal 9 2 3 2 2 2 3 2" xfId="13742" xr:uid="{8A495E14-66D6-4686-B90A-6745295068C3}"/>
    <cellStyle name="Normal 9 2 3 2 2 2 4" xfId="9524" xr:uid="{C7E34CC6-7F9D-47AE-9D30-C8368A28EB05}"/>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FB11614A-F7BD-4733-8E26-B210CAED5C7B}"/>
    <cellStyle name="Normal 9 2 3 2 2 3 2 3" xfId="12082" xr:uid="{988C22DD-625E-417A-88D0-D3D72DD545D0}"/>
    <cellStyle name="Normal 9 2 3 2 2 3 3" xfId="5713" xr:uid="{00000000-0005-0000-0000-0000161F0000}"/>
    <cellStyle name="Normal 9 2 3 2 2 3 3 2" xfId="14155" xr:uid="{A5DB8B68-6C0D-4671-B60E-886917256576}"/>
    <cellStyle name="Normal 9 2 3 2 2 3 4" xfId="9937" xr:uid="{7C62AEA0-B46D-447C-85F3-4566C06808C1}"/>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9321A0E6-6310-4CCE-AB44-DA8C77DFDA27}"/>
    <cellStyle name="Normal 9 2 3 2 2 4 2 3" xfId="12495" xr:uid="{BA88E30F-42C3-43D3-9621-CBA97D6FE3BC}"/>
    <cellStyle name="Normal 9 2 3 2 2 4 3" xfId="6126" xr:uid="{00000000-0005-0000-0000-00001A1F0000}"/>
    <cellStyle name="Normal 9 2 3 2 2 4 3 2" xfId="14568" xr:uid="{1D7A13EE-540C-4C3F-8EA6-B59B5B200F3F}"/>
    <cellStyle name="Normal 9 2 3 2 2 4 4" xfId="10350" xr:uid="{70D79FAA-A038-444A-AC6C-A016048EA19E}"/>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03BD7EB7-A750-4D7D-95F7-364DDAC793BA}"/>
    <cellStyle name="Normal 9 2 3 2 2 5 2 3" xfId="12908" xr:uid="{0CE99F59-7C35-47AB-BCF3-4BA10887F977}"/>
    <cellStyle name="Normal 9 2 3 2 2 5 3" xfId="6539" xr:uid="{00000000-0005-0000-0000-00001E1F0000}"/>
    <cellStyle name="Normal 9 2 3 2 2 5 3 2" xfId="14981" xr:uid="{C82CCE49-CAEB-48F7-BA44-0A70C7DCC746}"/>
    <cellStyle name="Normal 9 2 3 2 2 5 4" xfId="10763" xr:uid="{E64F6010-9DAE-4E52-8EB0-EBE3C898A725}"/>
    <cellStyle name="Normal 9 2 3 2 2 6" xfId="2668" xr:uid="{00000000-0005-0000-0000-00001F1F0000}"/>
    <cellStyle name="Normal 9 2 3 2 2 6 2" xfId="6952" xr:uid="{00000000-0005-0000-0000-0000201F0000}"/>
    <cellStyle name="Normal 9 2 3 2 2 6 2 2" xfId="15394" xr:uid="{88008655-BC9D-4204-93D1-C924289D48E2}"/>
    <cellStyle name="Normal 9 2 3 2 2 6 3" xfId="11176" xr:uid="{19FCE2DE-C3A8-498B-8FDF-12827002D450}"/>
    <cellStyle name="Normal 9 2 3 2 2 7" xfId="4887" xr:uid="{00000000-0005-0000-0000-0000211F0000}"/>
    <cellStyle name="Normal 9 2 3 2 2 7 2" xfId="13329" xr:uid="{C7E81382-BEDE-4C52-A023-781D955533D2}"/>
    <cellStyle name="Normal 9 2 3 2 2 8" xfId="9111" xr:uid="{D7637383-540D-40D7-BD6D-FE6018610418}"/>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A1506387-DF52-45D3-8536-4DF2A7BC98D8}"/>
    <cellStyle name="Normal 9 2 3 2 3 2 3" xfId="11668" xr:uid="{7FE2DD31-0AA0-464C-8272-AC5599CA0480}"/>
    <cellStyle name="Normal 9 2 3 2 3 3" xfId="5299" xr:uid="{00000000-0005-0000-0000-0000251F0000}"/>
    <cellStyle name="Normal 9 2 3 2 3 3 2" xfId="13741" xr:uid="{78975DC2-D3FF-4ABF-973F-5E28F4230347}"/>
    <cellStyle name="Normal 9 2 3 2 3 4" xfId="9523" xr:uid="{DB38D5B6-022C-4723-8D23-866E4B72840A}"/>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0560A131-50A7-4FD4-B312-0792AC6D3234}"/>
    <cellStyle name="Normal 9 2 3 2 4 2 3" xfId="12081" xr:uid="{DF09723B-C8A4-47C4-BAA0-20D3FE5057C0}"/>
    <cellStyle name="Normal 9 2 3 2 4 3" xfId="5712" xr:uid="{00000000-0005-0000-0000-0000291F0000}"/>
    <cellStyle name="Normal 9 2 3 2 4 3 2" xfId="14154" xr:uid="{C81D6A62-A53E-4B5B-B5FA-7CB0CD20301B}"/>
    <cellStyle name="Normal 9 2 3 2 4 4" xfId="9936" xr:uid="{4B5A48CA-CF26-4E0A-9201-C1FB796FB397}"/>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8B015FF1-84FF-4455-A96E-1E3D9CF5D506}"/>
    <cellStyle name="Normal 9 2 3 2 5 2 3" xfId="12494" xr:uid="{380C68EC-6263-4719-A1B1-7B1525A10815}"/>
    <cellStyle name="Normal 9 2 3 2 5 3" xfId="6125" xr:uid="{00000000-0005-0000-0000-00002D1F0000}"/>
    <cellStyle name="Normal 9 2 3 2 5 3 2" xfId="14567" xr:uid="{97ACDFFF-B307-4615-B953-F1F8336C42C3}"/>
    <cellStyle name="Normal 9 2 3 2 5 4" xfId="10349" xr:uid="{F7AC7519-5F5A-45A4-8D9E-1EBF00E9110E}"/>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029748F5-8D78-4D85-AAEB-533412C0E4F3}"/>
    <cellStyle name="Normal 9 2 3 2 6 2 3" xfId="12907" xr:uid="{C099247C-C2EB-48A3-8343-A88D14CB7CF7}"/>
    <cellStyle name="Normal 9 2 3 2 6 3" xfId="6538" xr:uid="{00000000-0005-0000-0000-0000311F0000}"/>
    <cellStyle name="Normal 9 2 3 2 6 3 2" xfId="14980" xr:uid="{5650E4B2-FCB2-47D7-AB30-2BEB0F8B546F}"/>
    <cellStyle name="Normal 9 2 3 2 6 4" xfId="10762" xr:uid="{6360FD78-CB91-4581-B0E4-5940BEEB579B}"/>
    <cellStyle name="Normal 9 2 3 2 7" xfId="2667" xr:uid="{00000000-0005-0000-0000-0000321F0000}"/>
    <cellStyle name="Normal 9 2 3 2 7 2" xfId="6951" xr:uid="{00000000-0005-0000-0000-0000331F0000}"/>
    <cellStyle name="Normal 9 2 3 2 7 2 2" xfId="15393" xr:uid="{A53B9781-1E5E-41E5-83C3-E5EAFF11205E}"/>
    <cellStyle name="Normal 9 2 3 2 7 3" xfId="11175" xr:uid="{645382AA-6F49-4294-947F-587B8291BB0C}"/>
    <cellStyle name="Normal 9 2 3 2 8" xfId="4886" xr:uid="{00000000-0005-0000-0000-0000341F0000}"/>
    <cellStyle name="Normal 9 2 3 2 8 2" xfId="13328" xr:uid="{CCCC446B-E8EF-4B11-99BD-75EB6F66F33C}"/>
    <cellStyle name="Normal 9 2 3 2 9" xfId="9110" xr:uid="{E5D6DB36-E6A5-40AE-B58F-216C188FEDB5}"/>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8A968334-3621-41AA-BDA5-ED53E7FA8A37}"/>
    <cellStyle name="Normal 9 2 3 3 2 2 3" xfId="11670" xr:uid="{DBD05FD4-4DEA-4481-B5AC-2AA66AC6DB83}"/>
    <cellStyle name="Normal 9 2 3 3 2 3" xfId="5301" xr:uid="{00000000-0005-0000-0000-0000391F0000}"/>
    <cellStyle name="Normal 9 2 3 3 2 3 2" xfId="13743" xr:uid="{FE55A4B9-BE5C-4902-ADDE-2B621E0C599D}"/>
    <cellStyle name="Normal 9 2 3 3 2 4" xfId="9525" xr:uid="{1A85ACAC-32A2-4A35-832B-325E036FE7BE}"/>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B625BDD0-6725-41C4-9CCE-3301BA8005B8}"/>
    <cellStyle name="Normal 9 2 3 3 3 2 3" xfId="12083" xr:uid="{EC08127D-173D-42D0-BA55-BF1CCFBA21C3}"/>
    <cellStyle name="Normal 9 2 3 3 3 3" xfId="5714" xr:uid="{00000000-0005-0000-0000-00003D1F0000}"/>
    <cellStyle name="Normal 9 2 3 3 3 3 2" xfId="14156" xr:uid="{4D27B0A9-AE05-40BA-BAEE-1CC5D9F047D6}"/>
    <cellStyle name="Normal 9 2 3 3 3 4" xfId="9938" xr:uid="{D3853183-2E76-4125-8315-D73B8AF7A1A8}"/>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35C673B0-57E5-462B-847E-FF92108632E2}"/>
    <cellStyle name="Normal 9 2 3 3 4 2 3" xfId="12496" xr:uid="{575943AD-DC2D-4E61-943F-C920847A7FDB}"/>
    <cellStyle name="Normal 9 2 3 3 4 3" xfId="6127" xr:uid="{00000000-0005-0000-0000-0000411F0000}"/>
    <cellStyle name="Normal 9 2 3 3 4 3 2" xfId="14569" xr:uid="{896009B1-C814-4F38-99E0-C7CB02C4AE60}"/>
    <cellStyle name="Normal 9 2 3 3 4 4" xfId="10351" xr:uid="{7C09665E-D187-433C-9E3E-12D1102B3061}"/>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BDE39111-FA43-42A8-A1E1-99806D14D378}"/>
    <cellStyle name="Normal 9 2 3 3 5 2 3" xfId="12909" xr:uid="{FBDEA4C0-21BC-4530-9421-620841B9CA22}"/>
    <cellStyle name="Normal 9 2 3 3 5 3" xfId="6540" xr:uid="{00000000-0005-0000-0000-0000451F0000}"/>
    <cellStyle name="Normal 9 2 3 3 5 3 2" xfId="14982" xr:uid="{ABB8F6BB-D1E1-4EE1-A9EE-9FBA49571B10}"/>
    <cellStyle name="Normal 9 2 3 3 5 4" xfId="10764" xr:uid="{E9CDF0BA-61B1-415C-B616-A5455592E7CF}"/>
    <cellStyle name="Normal 9 2 3 3 6" xfId="2669" xr:uid="{00000000-0005-0000-0000-0000461F0000}"/>
    <cellStyle name="Normal 9 2 3 3 6 2" xfId="6953" xr:uid="{00000000-0005-0000-0000-0000471F0000}"/>
    <cellStyle name="Normal 9 2 3 3 6 2 2" xfId="15395" xr:uid="{3495DC7C-E1B9-41B8-86CB-B3204F331E1C}"/>
    <cellStyle name="Normal 9 2 3 3 6 3" xfId="11177" xr:uid="{29BF62D4-4F95-4A2A-8168-B3B33C9FDBB5}"/>
    <cellStyle name="Normal 9 2 3 3 7" xfId="4888" xr:uid="{00000000-0005-0000-0000-0000481F0000}"/>
    <cellStyle name="Normal 9 2 3 3 7 2" xfId="13330" xr:uid="{C27A22FE-E59B-44F3-8414-7E5B5C337AB8}"/>
    <cellStyle name="Normal 9 2 3 3 8" xfId="9112" xr:uid="{53B4F87A-E891-4221-AA28-72C811A27D71}"/>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3980528F-B684-431A-A4FD-A12647C92CE1}"/>
    <cellStyle name="Normal 9 2 3 4 2 3" xfId="11667" xr:uid="{B07B6AC6-7D44-4019-808F-4DF65011A5A1}"/>
    <cellStyle name="Normal 9 2 3 4 3" xfId="5298" xr:uid="{00000000-0005-0000-0000-00004C1F0000}"/>
    <cellStyle name="Normal 9 2 3 4 3 2" xfId="13740" xr:uid="{85BEC99C-7A5E-4031-9019-3E1EBAFFD9EC}"/>
    <cellStyle name="Normal 9 2 3 4 4" xfId="9522" xr:uid="{A30D96BD-FFBD-4CE9-929F-5405E0DF32E3}"/>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688086D5-F1C0-42DC-B15E-C7825F2CB021}"/>
    <cellStyle name="Normal 9 2 3 5 2 3" xfId="12080" xr:uid="{C434024A-286B-462B-9565-8C62A5A47A9A}"/>
    <cellStyle name="Normal 9 2 3 5 3" xfId="5711" xr:uid="{00000000-0005-0000-0000-0000501F0000}"/>
    <cellStyle name="Normal 9 2 3 5 3 2" xfId="14153" xr:uid="{9B308D9B-5D38-4E16-BA1C-BCB38A5F2CEA}"/>
    <cellStyle name="Normal 9 2 3 5 4" xfId="9935" xr:uid="{89E2D562-DFD1-499E-8C1D-C0828D27AAA8}"/>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A3D36BC3-0E37-4998-A956-ED43A47E3238}"/>
    <cellStyle name="Normal 9 2 3 6 2 3" xfId="12493" xr:uid="{24BEBB26-0C91-4E17-9358-393FA04D16E3}"/>
    <cellStyle name="Normal 9 2 3 6 3" xfId="6124" xr:uid="{00000000-0005-0000-0000-0000541F0000}"/>
    <cellStyle name="Normal 9 2 3 6 3 2" xfId="14566" xr:uid="{F3431B34-1033-42E7-B750-9834472D9B07}"/>
    <cellStyle name="Normal 9 2 3 6 4" xfId="10348" xr:uid="{2D147BF0-7E48-4801-9599-5607620C1BE4}"/>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B521DA80-1927-4478-9C63-E6C8368A4BA8}"/>
    <cellStyle name="Normal 9 2 3 7 2 3" xfId="12906" xr:uid="{61502545-C83E-4666-B97B-DF6352E96C71}"/>
    <cellStyle name="Normal 9 2 3 7 3" xfId="6537" xr:uid="{00000000-0005-0000-0000-0000581F0000}"/>
    <cellStyle name="Normal 9 2 3 7 3 2" xfId="14979" xr:uid="{F0F31AD8-C3F6-4FCB-8E11-39A4CE9B1A53}"/>
    <cellStyle name="Normal 9 2 3 7 4" xfId="10761" xr:uid="{1C9DD990-261E-492E-BB32-ADEA0BC6D801}"/>
    <cellStyle name="Normal 9 2 3 8" xfId="2666" xr:uid="{00000000-0005-0000-0000-0000591F0000}"/>
    <cellStyle name="Normal 9 2 3 8 2" xfId="6950" xr:uid="{00000000-0005-0000-0000-00005A1F0000}"/>
    <cellStyle name="Normal 9 2 3 8 2 2" xfId="15392" xr:uid="{7A64514C-1182-4AE4-B73D-C30B6F2C27AE}"/>
    <cellStyle name="Normal 9 2 3 8 3" xfId="11174" xr:uid="{83C04DE3-2736-454B-8055-9FF10E00CF4B}"/>
    <cellStyle name="Normal 9 2 3 9" xfId="4885" xr:uid="{00000000-0005-0000-0000-00005B1F0000}"/>
    <cellStyle name="Normal 9 2 3 9 2" xfId="13327" xr:uid="{3E126978-493D-46D1-AD65-D17C6C5458E5}"/>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224D46D8-1E64-414B-AC7F-85A6C76356AE}"/>
    <cellStyle name="Normal 9 2 4 2 2 2 3" xfId="11672" xr:uid="{B4282F66-1A01-462F-AFC0-1E00930E251E}"/>
    <cellStyle name="Normal 9 2 4 2 2 3" xfId="5303" xr:uid="{00000000-0005-0000-0000-0000611F0000}"/>
    <cellStyle name="Normal 9 2 4 2 2 3 2" xfId="13745" xr:uid="{19A11297-F3B9-43A4-B4EB-04E2880F6F41}"/>
    <cellStyle name="Normal 9 2 4 2 2 4" xfId="9527" xr:uid="{5F7ED68C-3DF5-47A9-96FE-47A6288CB7B1}"/>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828D9898-55A6-46A3-891B-362FBA236943}"/>
    <cellStyle name="Normal 9 2 4 2 3 2 3" xfId="12085" xr:uid="{2CA35B04-8D63-4634-AF97-E9E58358025B}"/>
    <cellStyle name="Normal 9 2 4 2 3 3" xfId="5716" xr:uid="{00000000-0005-0000-0000-0000651F0000}"/>
    <cellStyle name="Normal 9 2 4 2 3 3 2" xfId="14158" xr:uid="{1561F946-5A5E-4D20-B2A8-04533E0647B9}"/>
    <cellStyle name="Normal 9 2 4 2 3 4" xfId="9940" xr:uid="{6BDCBB80-681A-48A2-B07B-BDF489DA36A3}"/>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1BBCE5CA-FAED-4A54-917E-53FD7D6928E6}"/>
    <cellStyle name="Normal 9 2 4 2 4 2 3" xfId="12498" xr:uid="{860E3B7F-2569-4B2E-B76E-35274905EFBC}"/>
    <cellStyle name="Normal 9 2 4 2 4 3" xfId="6129" xr:uid="{00000000-0005-0000-0000-0000691F0000}"/>
    <cellStyle name="Normal 9 2 4 2 4 3 2" xfId="14571" xr:uid="{C648565C-8409-40CE-A934-82824C3E418B}"/>
    <cellStyle name="Normal 9 2 4 2 4 4" xfId="10353" xr:uid="{461B8C86-4797-4307-B2D5-F1E64C3252E9}"/>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EED713C0-BBC3-4FE6-81F1-B9B9BD4FEF1B}"/>
    <cellStyle name="Normal 9 2 4 2 5 2 3" xfId="12911" xr:uid="{F64F4BEE-6627-473C-92DF-0D49C57920EE}"/>
    <cellStyle name="Normal 9 2 4 2 5 3" xfId="6542" xr:uid="{00000000-0005-0000-0000-00006D1F0000}"/>
    <cellStyle name="Normal 9 2 4 2 5 3 2" xfId="14984" xr:uid="{27BB6A0A-63AD-42A2-9082-5A6C0B4C98A8}"/>
    <cellStyle name="Normal 9 2 4 2 5 4" xfId="10766" xr:uid="{2BC9289E-978B-4E53-BD1F-B2FF3BE8BBEB}"/>
    <cellStyle name="Normal 9 2 4 2 6" xfId="2671" xr:uid="{00000000-0005-0000-0000-00006E1F0000}"/>
    <cellStyle name="Normal 9 2 4 2 6 2" xfId="6955" xr:uid="{00000000-0005-0000-0000-00006F1F0000}"/>
    <cellStyle name="Normal 9 2 4 2 6 2 2" xfId="15397" xr:uid="{AF67D32E-1270-447C-B94A-9BB80397F101}"/>
    <cellStyle name="Normal 9 2 4 2 6 3" xfId="11179" xr:uid="{0681D584-978C-48B8-B8CD-CD8AD3939269}"/>
    <cellStyle name="Normal 9 2 4 2 7" xfId="4890" xr:uid="{00000000-0005-0000-0000-0000701F0000}"/>
    <cellStyle name="Normal 9 2 4 2 7 2" xfId="13332" xr:uid="{F49DC076-07D3-4046-847F-3E0CA03974ED}"/>
    <cellStyle name="Normal 9 2 4 2 8" xfId="9114" xr:uid="{B55F7C7D-9DB5-413F-B0FA-83C20E6CDF27}"/>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7273E16E-B293-460F-AD22-362551FDD68E}"/>
    <cellStyle name="Normal 9 2 4 3 2 3" xfId="11671" xr:uid="{63FFF283-ED14-4D8E-8206-F7793A3E2C4C}"/>
    <cellStyle name="Normal 9 2 4 3 3" xfId="5302" xr:uid="{00000000-0005-0000-0000-0000741F0000}"/>
    <cellStyle name="Normal 9 2 4 3 3 2" xfId="13744" xr:uid="{C39307EE-30A1-40A2-8B28-92B2B0D5BC8E}"/>
    <cellStyle name="Normal 9 2 4 3 4" xfId="9526" xr:uid="{3DF17E89-5724-4BB5-A33D-3C77F2E0B501}"/>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A9753839-7476-4C6D-BB08-F07F0BF0968F}"/>
    <cellStyle name="Normal 9 2 4 4 2 3" xfId="12084" xr:uid="{03AEE837-3AF5-4BE0-ADBB-9D41AF5FDD82}"/>
    <cellStyle name="Normal 9 2 4 4 3" xfId="5715" xr:uid="{00000000-0005-0000-0000-0000781F0000}"/>
    <cellStyle name="Normal 9 2 4 4 3 2" xfId="14157" xr:uid="{A20BC79F-16C6-4467-8DC0-A28D0E08B1ED}"/>
    <cellStyle name="Normal 9 2 4 4 4" xfId="9939" xr:uid="{FC2C81A7-FB61-40E0-A4BB-BCCF7D688ED2}"/>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B74B0449-900E-452B-8381-F406C298F6BD}"/>
    <cellStyle name="Normal 9 2 4 5 2 3" xfId="12497" xr:uid="{4A37D4D2-F3D9-4156-8CE8-4DC50A9F9335}"/>
    <cellStyle name="Normal 9 2 4 5 3" xfId="6128" xr:uid="{00000000-0005-0000-0000-00007C1F0000}"/>
    <cellStyle name="Normal 9 2 4 5 3 2" xfId="14570" xr:uid="{182521A4-18C2-4524-8007-F230EFE16898}"/>
    <cellStyle name="Normal 9 2 4 5 4" xfId="10352" xr:uid="{FBC1C803-31DC-4B21-B3C2-93F70B823C03}"/>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CEE6CD57-79E5-4CE3-A02B-D931FBED4A6B}"/>
    <cellStyle name="Normal 9 2 4 6 2 3" xfId="12910" xr:uid="{E2AEA12D-EFAB-4E8F-B30C-8DF10A3E3BB0}"/>
    <cellStyle name="Normal 9 2 4 6 3" xfId="6541" xr:uid="{00000000-0005-0000-0000-0000801F0000}"/>
    <cellStyle name="Normal 9 2 4 6 3 2" xfId="14983" xr:uid="{169A1305-C83F-408F-AC76-7B8C08A9FA35}"/>
    <cellStyle name="Normal 9 2 4 6 4" xfId="10765" xr:uid="{4C49AAC6-13A5-48C9-85F8-FA0C5901814B}"/>
    <cellStyle name="Normal 9 2 4 7" xfId="2670" xr:uid="{00000000-0005-0000-0000-0000811F0000}"/>
    <cellStyle name="Normal 9 2 4 7 2" xfId="6954" xr:uid="{00000000-0005-0000-0000-0000821F0000}"/>
    <cellStyle name="Normal 9 2 4 7 2 2" xfId="15396" xr:uid="{FDED28C8-E772-4126-AE3B-DBF444648B81}"/>
    <cellStyle name="Normal 9 2 4 7 3" xfId="11178" xr:uid="{565D8ACC-D4DE-4696-AFC9-E562A90EA488}"/>
    <cellStyle name="Normal 9 2 4 8" xfId="4889" xr:uid="{00000000-0005-0000-0000-0000831F0000}"/>
    <cellStyle name="Normal 9 2 4 8 2" xfId="13331" xr:uid="{F15541EF-16AB-49EE-BF93-257DB4CC32D2}"/>
    <cellStyle name="Normal 9 2 4 9" xfId="9113" xr:uid="{116335E0-B77E-4C1F-A528-9C19AD034366}"/>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5062B9FA-4B31-4C33-A33A-315ECE0D5604}"/>
    <cellStyle name="Normal 9 2 5 2 2 3" xfId="11673" xr:uid="{C50E6580-EBD2-4175-A5B6-6C0C14029255}"/>
    <cellStyle name="Normal 9 2 5 2 3" xfId="5304" xr:uid="{00000000-0005-0000-0000-0000881F0000}"/>
    <cellStyle name="Normal 9 2 5 2 3 2" xfId="13746" xr:uid="{47D8C8C9-C3EB-4D54-A952-793F315F7AA0}"/>
    <cellStyle name="Normal 9 2 5 2 4" xfId="9528" xr:uid="{A884470A-17B3-45BB-863A-052A83C5181B}"/>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F124995F-FB7D-4D42-84DC-361209DB8403}"/>
    <cellStyle name="Normal 9 2 5 3 2 3" xfId="12086" xr:uid="{D934D7CA-ACCA-4DCB-97DF-3F60EA106E68}"/>
    <cellStyle name="Normal 9 2 5 3 3" xfId="5717" xr:uid="{00000000-0005-0000-0000-00008C1F0000}"/>
    <cellStyle name="Normal 9 2 5 3 3 2" xfId="14159" xr:uid="{8C4143DD-81C4-4481-BD62-4CCF52DE58ED}"/>
    <cellStyle name="Normal 9 2 5 3 4" xfId="9941" xr:uid="{344D822E-78C1-4AC3-B3E8-F6C5BB869550}"/>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59EE61BF-498B-4E76-A54A-0ECE57FCCC66}"/>
    <cellStyle name="Normal 9 2 5 4 2 3" xfId="12499" xr:uid="{1D90B3E3-D1AE-4E13-B65E-D47DDC3FBE25}"/>
    <cellStyle name="Normal 9 2 5 4 3" xfId="6130" xr:uid="{00000000-0005-0000-0000-0000901F0000}"/>
    <cellStyle name="Normal 9 2 5 4 3 2" xfId="14572" xr:uid="{1CFBF13E-FAA1-4E5A-8D58-E0682CA6838D}"/>
    <cellStyle name="Normal 9 2 5 4 4" xfId="10354" xr:uid="{F6AE73D6-8EF9-4C29-A22F-58B5D763EBF2}"/>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D5405D56-2F06-49F0-A34B-8D7AC8F4B1E0}"/>
    <cellStyle name="Normal 9 2 5 5 2 3" xfId="12912" xr:uid="{B431461E-2587-4A7F-9BFF-2A9F92350DF6}"/>
    <cellStyle name="Normal 9 2 5 5 3" xfId="6543" xr:uid="{00000000-0005-0000-0000-0000941F0000}"/>
    <cellStyle name="Normal 9 2 5 5 3 2" xfId="14985" xr:uid="{BB72A599-61F9-483A-84F9-0BFE2A62382C}"/>
    <cellStyle name="Normal 9 2 5 5 4" xfId="10767" xr:uid="{3476B639-67F8-4864-88A4-FC7CA99F39C1}"/>
    <cellStyle name="Normal 9 2 5 6" xfId="2672" xr:uid="{00000000-0005-0000-0000-0000951F0000}"/>
    <cellStyle name="Normal 9 2 5 6 2" xfId="6956" xr:uid="{00000000-0005-0000-0000-0000961F0000}"/>
    <cellStyle name="Normal 9 2 5 6 2 2" xfId="15398" xr:uid="{BA34E249-6FBA-4DD5-92E3-EED97D5E3AB1}"/>
    <cellStyle name="Normal 9 2 5 6 3" xfId="11180" xr:uid="{00A96AFE-D677-48EA-814D-9B4BCA7A90CB}"/>
    <cellStyle name="Normal 9 2 5 7" xfId="4891" xr:uid="{00000000-0005-0000-0000-0000971F0000}"/>
    <cellStyle name="Normal 9 2 5 7 2" xfId="13333" xr:uid="{A8DFEAEE-8134-4678-9272-C3586184C2F2}"/>
    <cellStyle name="Normal 9 2 5 8" xfId="9115" xr:uid="{A1350FEB-4E75-401C-90FF-4BACC2A25840}"/>
    <cellStyle name="Normal 9 2 6" xfId="978" xr:uid="{00000000-0005-0000-0000-0000981F0000}"/>
    <cellStyle name="Normal 9 2 6 2" xfId="3211" xr:uid="{00000000-0005-0000-0000-0000991F0000}"/>
    <cellStyle name="Normal 9 2 6 2 2" xfId="7434" xr:uid="{00000000-0005-0000-0000-00009A1F0000}"/>
    <cellStyle name="Normal 9 2 6 2 2 2" xfId="15876" xr:uid="{CE55B040-168C-464A-A158-1706EAD7DE69}"/>
    <cellStyle name="Normal 9 2 6 2 3" xfId="11658" xr:uid="{4FD1D5BA-173F-401C-BF8C-E1E5EE641575}"/>
    <cellStyle name="Normal 9 2 6 3" xfId="5289" xr:uid="{00000000-0005-0000-0000-00009B1F0000}"/>
    <cellStyle name="Normal 9 2 6 3 2" xfId="13731" xr:uid="{674DA1CA-842C-4984-8968-75C4350AFA81}"/>
    <cellStyle name="Normal 9 2 6 4" xfId="9513" xr:uid="{3161A984-0C7A-49C4-986F-7ED80EC3937E}"/>
    <cellStyle name="Normal 9 2 7" xfId="1394" xr:uid="{00000000-0005-0000-0000-00009C1F0000}"/>
    <cellStyle name="Normal 9 2 7 2" xfId="3624" xr:uid="{00000000-0005-0000-0000-00009D1F0000}"/>
    <cellStyle name="Normal 9 2 7 2 2" xfId="7847" xr:uid="{00000000-0005-0000-0000-00009E1F0000}"/>
    <cellStyle name="Normal 9 2 7 2 2 2" xfId="16289" xr:uid="{62429DF3-B524-44A4-98D4-0FE3C3FC2D21}"/>
    <cellStyle name="Normal 9 2 7 2 3" xfId="12071" xr:uid="{AEB03F09-BF8C-48B2-B1F3-E62B6A3D7EE1}"/>
    <cellStyle name="Normal 9 2 7 3" xfId="5702" xr:uid="{00000000-0005-0000-0000-00009F1F0000}"/>
    <cellStyle name="Normal 9 2 7 3 2" xfId="14144" xr:uid="{0AA3261B-8407-48AA-82A6-08D4C4C5B482}"/>
    <cellStyle name="Normal 9 2 7 4" xfId="9926" xr:uid="{E1C414BB-6CEB-4806-9B32-435B756B28E8}"/>
    <cellStyle name="Normal 9 2 8" xfId="1807" xr:uid="{00000000-0005-0000-0000-0000A01F0000}"/>
    <cellStyle name="Normal 9 2 8 2" xfId="4037" xr:uid="{00000000-0005-0000-0000-0000A11F0000}"/>
    <cellStyle name="Normal 9 2 8 2 2" xfId="8260" xr:uid="{00000000-0005-0000-0000-0000A21F0000}"/>
    <cellStyle name="Normal 9 2 8 2 2 2" xfId="16702" xr:uid="{DF68528C-11B2-4C93-BC61-664951AA2DD6}"/>
    <cellStyle name="Normal 9 2 8 2 3" xfId="12484" xr:uid="{91BA9C90-15BA-410F-B6A6-333E84B8D3DC}"/>
    <cellStyle name="Normal 9 2 8 3" xfId="6115" xr:uid="{00000000-0005-0000-0000-0000A31F0000}"/>
    <cellStyle name="Normal 9 2 8 3 2" xfId="14557" xr:uid="{38DAC5D2-5095-4559-A1FB-31CE7C69023A}"/>
    <cellStyle name="Normal 9 2 8 4" xfId="10339" xr:uid="{81EBAA09-7ABE-4D87-ACB7-AA6E12B4EB72}"/>
    <cellStyle name="Normal 9 2 9" xfId="2221" xr:uid="{00000000-0005-0000-0000-0000A41F0000}"/>
    <cellStyle name="Normal 9 2 9 2" xfId="4450" xr:uid="{00000000-0005-0000-0000-0000A51F0000}"/>
    <cellStyle name="Normal 9 2 9 2 2" xfId="8673" xr:uid="{00000000-0005-0000-0000-0000A61F0000}"/>
    <cellStyle name="Normal 9 2 9 2 2 2" xfId="17115" xr:uid="{BAA6ECAB-DF9B-445C-BFB3-04BA5DBAABCA}"/>
    <cellStyle name="Normal 9 2 9 2 3" xfId="12897" xr:uid="{21B681AE-BF01-40F1-92F8-A15456FBB22C}"/>
    <cellStyle name="Normal 9 2 9 3" xfId="6528" xr:uid="{00000000-0005-0000-0000-0000A71F0000}"/>
    <cellStyle name="Normal 9 2 9 3 2" xfId="14970" xr:uid="{5A53CB6E-57A9-4DE0-AFD7-8F68C427F71F}"/>
    <cellStyle name="Normal 9 2 9 4" xfId="10752" xr:uid="{D3348DB5-0172-45DC-A642-1A3D9B3FE8B0}"/>
    <cellStyle name="Normal 9 3" xfId="527" xr:uid="{00000000-0005-0000-0000-0000A81F0000}"/>
    <cellStyle name="Normal 9 3 10" xfId="4892" xr:uid="{00000000-0005-0000-0000-0000A91F0000}"/>
    <cellStyle name="Normal 9 3 10 2" xfId="13334" xr:uid="{E29FB79D-FB85-45E9-86F2-EB485F9B34CF}"/>
    <cellStyle name="Normal 9 3 11" xfId="9116" xr:uid="{789860FC-08F3-4344-BBBB-04C2DA4C4F36}"/>
    <cellStyle name="Normal 9 3 2" xfId="528" xr:uid="{00000000-0005-0000-0000-0000AA1F0000}"/>
    <cellStyle name="Normal 9 3 2 10" xfId="9117" xr:uid="{5AEE2FD0-8FEE-44E8-8D57-CB8AD4BFC6F8}"/>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3C533C61-3CFD-4272-8D98-A679358522F4}"/>
    <cellStyle name="Normal 9 3 2 2 2 2 2 3" xfId="11677" xr:uid="{3C56D681-F77D-4653-858B-5F9C7E01410F}"/>
    <cellStyle name="Normal 9 3 2 2 2 2 3" xfId="5308" xr:uid="{00000000-0005-0000-0000-0000B01F0000}"/>
    <cellStyle name="Normal 9 3 2 2 2 2 3 2" xfId="13750" xr:uid="{3DCA7D8B-D091-4F51-ACE5-08C8B718189D}"/>
    <cellStyle name="Normal 9 3 2 2 2 2 4" xfId="9532" xr:uid="{CD4FA15A-61D3-460E-957D-EC0E243100A1}"/>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A1B71C65-C039-4A8E-925F-AB0EF70976E4}"/>
    <cellStyle name="Normal 9 3 2 2 2 3 2 3" xfId="12090" xr:uid="{7A4D01AF-5132-437D-A687-A0BD692F381F}"/>
    <cellStyle name="Normal 9 3 2 2 2 3 3" xfId="5721" xr:uid="{00000000-0005-0000-0000-0000B41F0000}"/>
    <cellStyle name="Normal 9 3 2 2 2 3 3 2" xfId="14163" xr:uid="{2DBAE3C4-B9BA-42DF-9A4C-A3AB6FF62034}"/>
    <cellStyle name="Normal 9 3 2 2 2 3 4" xfId="9945" xr:uid="{A8AF8DE6-F8F3-491A-B982-050579473AF9}"/>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196E6283-ADBB-44F7-B36D-338FB950D8FE}"/>
    <cellStyle name="Normal 9 3 2 2 2 4 2 3" xfId="12503" xr:uid="{A5705A8C-0C68-479E-BD57-639AAB2AD196}"/>
    <cellStyle name="Normal 9 3 2 2 2 4 3" xfId="6134" xr:uid="{00000000-0005-0000-0000-0000B81F0000}"/>
    <cellStyle name="Normal 9 3 2 2 2 4 3 2" xfId="14576" xr:uid="{FE8E6CFF-A2BE-4BEF-9EF2-D0D48B504A86}"/>
    <cellStyle name="Normal 9 3 2 2 2 4 4" xfId="10358" xr:uid="{EAFD4E62-4771-405F-A5BE-A06D847E59E1}"/>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BD533A78-03B0-471A-A2B8-3CAED363940F}"/>
    <cellStyle name="Normal 9 3 2 2 2 5 2 3" xfId="12916" xr:uid="{281B9A79-4142-40DC-87EA-7BCA0A60BCC1}"/>
    <cellStyle name="Normal 9 3 2 2 2 5 3" xfId="6547" xr:uid="{00000000-0005-0000-0000-0000BC1F0000}"/>
    <cellStyle name="Normal 9 3 2 2 2 5 3 2" xfId="14989" xr:uid="{214E1520-B6E4-4FBB-90E3-9FB3F751C1FC}"/>
    <cellStyle name="Normal 9 3 2 2 2 5 4" xfId="10771" xr:uid="{FADE43F9-5B24-4856-9078-40C72429FED2}"/>
    <cellStyle name="Normal 9 3 2 2 2 6" xfId="2676" xr:uid="{00000000-0005-0000-0000-0000BD1F0000}"/>
    <cellStyle name="Normal 9 3 2 2 2 6 2" xfId="6960" xr:uid="{00000000-0005-0000-0000-0000BE1F0000}"/>
    <cellStyle name="Normal 9 3 2 2 2 6 2 2" xfId="15402" xr:uid="{9D115C48-7B17-4DF5-9714-DDB2803F9E7F}"/>
    <cellStyle name="Normal 9 3 2 2 2 6 3" xfId="11184" xr:uid="{5DEEE412-A791-4430-9C3E-262C87989BCF}"/>
    <cellStyle name="Normal 9 3 2 2 2 7" xfId="4895" xr:uid="{00000000-0005-0000-0000-0000BF1F0000}"/>
    <cellStyle name="Normal 9 3 2 2 2 7 2" xfId="13337" xr:uid="{53C48885-22D0-4BF5-946E-68B6F1B1A44B}"/>
    <cellStyle name="Normal 9 3 2 2 2 8" xfId="9119" xr:uid="{8377A31B-BDBC-4F22-8408-AAFE19F529A7}"/>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C0A1901A-2AF6-403B-A30F-B8F2C5275E97}"/>
    <cellStyle name="Normal 9 3 2 2 3 2 3" xfId="11676" xr:uid="{FFDF8292-F517-48B2-90A0-5DFCD15F7DDB}"/>
    <cellStyle name="Normal 9 3 2 2 3 3" xfId="5307" xr:uid="{00000000-0005-0000-0000-0000C31F0000}"/>
    <cellStyle name="Normal 9 3 2 2 3 3 2" xfId="13749" xr:uid="{D0B562B3-C388-4409-A3C8-67033BCE57E1}"/>
    <cellStyle name="Normal 9 3 2 2 3 4" xfId="9531" xr:uid="{F960C20F-21F4-408C-BB44-5E855D36BB95}"/>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6FF3FEC6-A657-4E97-8941-79BBDA4A89A1}"/>
    <cellStyle name="Normal 9 3 2 2 4 2 3" xfId="12089" xr:uid="{617DFC72-CC8D-446F-918F-1818F639144D}"/>
    <cellStyle name="Normal 9 3 2 2 4 3" xfId="5720" xr:uid="{00000000-0005-0000-0000-0000C71F0000}"/>
    <cellStyle name="Normal 9 3 2 2 4 3 2" xfId="14162" xr:uid="{FB553FC1-453D-4651-9E41-052510DB67A0}"/>
    <cellStyle name="Normal 9 3 2 2 4 4" xfId="9944" xr:uid="{B81AB7D4-D569-4ED2-944C-2ADE3A8473C4}"/>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C5526BE2-3078-4C9B-8BBC-4AB55D062C32}"/>
    <cellStyle name="Normal 9 3 2 2 5 2 3" xfId="12502" xr:uid="{346BC92E-BFE9-44A4-B7E8-EC411A9521DF}"/>
    <cellStyle name="Normal 9 3 2 2 5 3" xfId="6133" xr:uid="{00000000-0005-0000-0000-0000CB1F0000}"/>
    <cellStyle name="Normal 9 3 2 2 5 3 2" xfId="14575" xr:uid="{61E58780-0C27-42D9-8A44-942DCCD18377}"/>
    <cellStyle name="Normal 9 3 2 2 5 4" xfId="10357" xr:uid="{D0A5B3B6-D87C-479A-B217-F6D9B82EF9B9}"/>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1994928B-A61D-46C3-A31A-8B9B365C0585}"/>
    <cellStyle name="Normal 9 3 2 2 6 2 3" xfId="12915" xr:uid="{8E401B36-C780-45A6-9C50-718675D8CDA5}"/>
    <cellStyle name="Normal 9 3 2 2 6 3" xfId="6546" xr:uid="{00000000-0005-0000-0000-0000CF1F0000}"/>
    <cellStyle name="Normal 9 3 2 2 6 3 2" xfId="14988" xr:uid="{6A84D937-E7CB-41A5-A5FA-F51953C3CFBB}"/>
    <cellStyle name="Normal 9 3 2 2 6 4" xfId="10770" xr:uid="{BCCE1A51-3748-4FF5-B0D0-77C4CB670D98}"/>
    <cellStyle name="Normal 9 3 2 2 7" xfId="2675" xr:uid="{00000000-0005-0000-0000-0000D01F0000}"/>
    <cellStyle name="Normal 9 3 2 2 7 2" xfId="6959" xr:uid="{00000000-0005-0000-0000-0000D11F0000}"/>
    <cellStyle name="Normal 9 3 2 2 7 2 2" xfId="15401" xr:uid="{4F2AB5BA-6FA1-4B96-8A23-489782189456}"/>
    <cellStyle name="Normal 9 3 2 2 7 3" xfId="11183" xr:uid="{7966F2DE-1786-46F4-A430-462101793446}"/>
    <cellStyle name="Normal 9 3 2 2 8" xfId="4894" xr:uid="{00000000-0005-0000-0000-0000D21F0000}"/>
    <cellStyle name="Normal 9 3 2 2 8 2" xfId="13336" xr:uid="{B362C97F-1586-4740-B5AB-8520CD23709D}"/>
    <cellStyle name="Normal 9 3 2 2 9" xfId="9118" xr:uid="{DE6AC0B9-3544-4B0E-B1AD-6A26BD2C00B5}"/>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7DEA7C47-327C-448F-BC43-712561282EE1}"/>
    <cellStyle name="Normal 9 3 2 3 2 2 3" xfId="11678" xr:uid="{4B01627F-FFC2-40E1-A83A-B967E06CC250}"/>
    <cellStyle name="Normal 9 3 2 3 2 3" xfId="5309" xr:uid="{00000000-0005-0000-0000-0000D71F0000}"/>
    <cellStyle name="Normal 9 3 2 3 2 3 2" xfId="13751" xr:uid="{7B6B8197-A9F8-476A-AFA7-432FCCE307BA}"/>
    <cellStyle name="Normal 9 3 2 3 2 4" xfId="9533" xr:uid="{06EA4195-74E9-4C64-B7E2-7EFA428ACA59}"/>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8DD01201-A719-4B56-BE9F-7137420F3C73}"/>
    <cellStyle name="Normal 9 3 2 3 3 2 3" xfId="12091" xr:uid="{65D82D35-10E6-422B-8CAA-1FDB7C25C5EA}"/>
    <cellStyle name="Normal 9 3 2 3 3 3" xfId="5722" xr:uid="{00000000-0005-0000-0000-0000DB1F0000}"/>
    <cellStyle name="Normal 9 3 2 3 3 3 2" xfId="14164" xr:uid="{B8DCADD0-7A09-4C0E-B4F1-8444008119BF}"/>
    <cellStyle name="Normal 9 3 2 3 3 4" xfId="9946" xr:uid="{BBBFC2AA-776B-498A-887F-AC23508DF052}"/>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0684742B-FE99-4EA6-B501-FBE372745DA5}"/>
    <cellStyle name="Normal 9 3 2 3 4 2 3" xfId="12504" xr:uid="{DC2707C2-7BF3-455C-832A-C50CEB385583}"/>
    <cellStyle name="Normal 9 3 2 3 4 3" xfId="6135" xr:uid="{00000000-0005-0000-0000-0000DF1F0000}"/>
    <cellStyle name="Normal 9 3 2 3 4 3 2" xfId="14577" xr:uid="{6C2E82E5-66D6-4C52-B09C-A5803F92977B}"/>
    <cellStyle name="Normal 9 3 2 3 4 4" xfId="10359" xr:uid="{F3D02E85-E7DD-47E8-9077-50290007E929}"/>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632B3D78-F0E9-4476-BD43-2F73E169D89A}"/>
    <cellStyle name="Normal 9 3 2 3 5 2 3" xfId="12917" xr:uid="{92A3BB76-0088-4E5E-83BD-63FCD993F8D0}"/>
    <cellStyle name="Normal 9 3 2 3 5 3" xfId="6548" xr:uid="{00000000-0005-0000-0000-0000E31F0000}"/>
    <cellStyle name="Normal 9 3 2 3 5 3 2" xfId="14990" xr:uid="{D20F546B-3302-405F-AE3C-BDEC472613A3}"/>
    <cellStyle name="Normal 9 3 2 3 5 4" xfId="10772" xr:uid="{A0855461-8624-44B2-918B-0612F4FBC580}"/>
    <cellStyle name="Normal 9 3 2 3 6" xfId="2677" xr:uid="{00000000-0005-0000-0000-0000E41F0000}"/>
    <cellStyle name="Normal 9 3 2 3 6 2" xfId="6961" xr:uid="{00000000-0005-0000-0000-0000E51F0000}"/>
    <cellStyle name="Normal 9 3 2 3 6 2 2" xfId="15403" xr:uid="{B5583902-D9CF-436F-AD65-581AB48FF566}"/>
    <cellStyle name="Normal 9 3 2 3 6 3" xfId="11185" xr:uid="{FFE2BFFE-FD11-4C4C-8B63-6E3E4E0EC421}"/>
    <cellStyle name="Normal 9 3 2 3 7" xfId="4896" xr:uid="{00000000-0005-0000-0000-0000E61F0000}"/>
    <cellStyle name="Normal 9 3 2 3 7 2" xfId="13338" xr:uid="{A873A14E-81FF-4BED-947D-93604C877650}"/>
    <cellStyle name="Normal 9 3 2 3 8" xfId="9120" xr:uid="{8D4F5A87-8587-4841-886E-6FAE77043547}"/>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25EF5FFD-52CC-4395-B7AA-C20DD7F69F83}"/>
    <cellStyle name="Normal 9 3 2 4 2 3" xfId="11675" xr:uid="{54CA47D8-EB01-4309-8A31-3B24F8820A2F}"/>
    <cellStyle name="Normal 9 3 2 4 3" xfId="5306" xr:uid="{00000000-0005-0000-0000-0000EA1F0000}"/>
    <cellStyle name="Normal 9 3 2 4 3 2" xfId="13748" xr:uid="{508273F2-5BAA-4EA8-849E-890B7F3C5947}"/>
    <cellStyle name="Normal 9 3 2 4 4" xfId="9530" xr:uid="{BF55A1BC-89C5-45F2-B039-B7A602346DF5}"/>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B7B807BB-5D6F-4550-8F87-BAE56270FD8F}"/>
    <cellStyle name="Normal 9 3 2 5 2 3" xfId="12088" xr:uid="{EA5BD7EC-8C67-43FC-81B8-C5851A38AC57}"/>
    <cellStyle name="Normal 9 3 2 5 3" xfId="5719" xr:uid="{00000000-0005-0000-0000-0000EE1F0000}"/>
    <cellStyle name="Normal 9 3 2 5 3 2" xfId="14161" xr:uid="{D1C450CC-9D50-4BC1-BFA9-76D9ACA6AE31}"/>
    <cellStyle name="Normal 9 3 2 5 4" xfId="9943" xr:uid="{A0723A43-5408-4F3B-8464-CE94F811867F}"/>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FB9A8AF8-B9B9-4F44-8621-EDBAA79FF2A6}"/>
    <cellStyle name="Normal 9 3 2 6 2 3" xfId="12501" xr:uid="{9B137652-696D-49ED-B212-39129686F0D0}"/>
    <cellStyle name="Normal 9 3 2 6 3" xfId="6132" xr:uid="{00000000-0005-0000-0000-0000F21F0000}"/>
    <cellStyle name="Normal 9 3 2 6 3 2" xfId="14574" xr:uid="{9DD7F98A-3C74-45EB-BDF3-651D4CC52D2F}"/>
    <cellStyle name="Normal 9 3 2 6 4" xfId="10356" xr:uid="{E360F516-686B-403F-83FD-B0D08C3D3FC3}"/>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D7AEA7BA-CC3B-43D1-836B-AA07715A7D21}"/>
    <cellStyle name="Normal 9 3 2 7 2 3" xfId="12914" xr:uid="{99843A7E-4528-4B98-B60B-49599E419619}"/>
    <cellStyle name="Normal 9 3 2 7 3" xfId="6545" xr:uid="{00000000-0005-0000-0000-0000F61F0000}"/>
    <cellStyle name="Normal 9 3 2 7 3 2" xfId="14987" xr:uid="{2C3FABEF-3A06-43DC-83C0-5CDA77D8C649}"/>
    <cellStyle name="Normal 9 3 2 7 4" xfId="10769" xr:uid="{6B2B26F1-B4D2-4F12-AF50-2A21A0A72327}"/>
    <cellStyle name="Normal 9 3 2 8" xfId="2674" xr:uid="{00000000-0005-0000-0000-0000F71F0000}"/>
    <cellStyle name="Normal 9 3 2 8 2" xfId="6958" xr:uid="{00000000-0005-0000-0000-0000F81F0000}"/>
    <cellStyle name="Normal 9 3 2 8 2 2" xfId="15400" xr:uid="{905C84BA-CA0E-4B63-B73C-5334B00A4C06}"/>
    <cellStyle name="Normal 9 3 2 8 3" xfId="11182" xr:uid="{B4E9D0F1-48D8-499B-9EA9-6FE66DCCC71B}"/>
    <cellStyle name="Normal 9 3 2 9" xfId="4893" xr:uid="{00000000-0005-0000-0000-0000F91F0000}"/>
    <cellStyle name="Normal 9 3 2 9 2" xfId="13335" xr:uid="{D0443192-25C8-4336-B82A-BE78D6047A73}"/>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1AAB8905-7A6E-4721-886D-A0B04FC186E1}"/>
    <cellStyle name="Normal 9 3 3 2 2 2 3" xfId="11680" xr:uid="{7E0D7CD2-988E-450F-9A04-7CB74F5DC47C}"/>
    <cellStyle name="Normal 9 3 3 2 2 3" xfId="5311" xr:uid="{00000000-0005-0000-0000-0000FF1F0000}"/>
    <cellStyle name="Normal 9 3 3 2 2 3 2" xfId="13753" xr:uid="{8CA3BFA5-DE95-4F7D-A438-A9B43186ECE8}"/>
    <cellStyle name="Normal 9 3 3 2 2 4" xfId="9535" xr:uid="{AA22EF9A-BE14-491E-9486-109FE8C14573}"/>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A2E6059B-43FA-48F8-8FD5-AB67CFBEE6E4}"/>
    <cellStyle name="Normal 9 3 3 2 3 2 3" xfId="12093" xr:uid="{FDBAF8C3-63CA-4F75-94F1-29434D0263DF}"/>
    <cellStyle name="Normal 9 3 3 2 3 3" xfId="5724" xr:uid="{00000000-0005-0000-0000-000003200000}"/>
    <cellStyle name="Normal 9 3 3 2 3 3 2" xfId="14166" xr:uid="{ACF2B36E-7C26-4C9D-B0A5-E1976FB41190}"/>
    <cellStyle name="Normal 9 3 3 2 3 4" xfId="9948" xr:uid="{F2CB5CCB-CEAF-400E-A057-5B1090864F4B}"/>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80821B61-5CE5-4DE9-977D-41DBD0C75146}"/>
    <cellStyle name="Normal 9 3 3 2 4 2 3" xfId="12506" xr:uid="{C7DFB76D-6950-492C-B534-9CDC9AC341E9}"/>
    <cellStyle name="Normal 9 3 3 2 4 3" xfId="6137" xr:uid="{00000000-0005-0000-0000-000007200000}"/>
    <cellStyle name="Normal 9 3 3 2 4 3 2" xfId="14579" xr:uid="{C95C583E-C6F5-4556-B4C0-42173EBF594A}"/>
    <cellStyle name="Normal 9 3 3 2 4 4" xfId="10361" xr:uid="{745A8FEA-F937-4B60-9108-0F2BF94FD02A}"/>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CDDD0B43-55AE-4007-928C-A27A636B6395}"/>
    <cellStyle name="Normal 9 3 3 2 5 2 3" xfId="12919" xr:uid="{BFDFB8FF-2C87-4C49-BA8C-9C313FC51F66}"/>
    <cellStyle name="Normal 9 3 3 2 5 3" xfId="6550" xr:uid="{00000000-0005-0000-0000-00000B200000}"/>
    <cellStyle name="Normal 9 3 3 2 5 3 2" xfId="14992" xr:uid="{D73E446A-B228-4ADF-847B-1B206883F044}"/>
    <cellStyle name="Normal 9 3 3 2 5 4" xfId="10774" xr:uid="{02034309-AEF1-4083-B393-CD6D5C3415A9}"/>
    <cellStyle name="Normal 9 3 3 2 6" xfId="2679" xr:uid="{00000000-0005-0000-0000-00000C200000}"/>
    <cellStyle name="Normal 9 3 3 2 6 2" xfId="6963" xr:uid="{00000000-0005-0000-0000-00000D200000}"/>
    <cellStyle name="Normal 9 3 3 2 6 2 2" xfId="15405" xr:uid="{3C5C5D3C-5CC4-43D7-A2BC-81F9C6428E7A}"/>
    <cellStyle name="Normal 9 3 3 2 6 3" xfId="11187" xr:uid="{472EDE9F-FBBF-4A4C-A815-FFF2C271F41E}"/>
    <cellStyle name="Normal 9 3 3 2 7" xfId="4898" xr:uid="{00000000-0005-0000-0000-00000E200000}"/>
    <cellStyle name="Normal 9 3 3 2 7 2" xfId="13340" xr:uid="{FA414242-C5D9-49B5-8BDE-1D037CD21811}"/>
    <cellStyle name="Normal 9 3 3 2 8" xfId="9122" xr:uid="{ED7D7913-3E44-4BCD-A880-4C0FD5ABC07D}"/>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ADEF90CD-59D6-4378-9237-E0A8C591F1DB}"/>
    <cellStyle name="Normal 9 3 3 3 2 3" xfId="11679" xr:uid="{5F0C086F-D8FC-4663-841F-AC2929AD07F1}"/>
    <cellStyle name="Normal 9 3 3 3 3" xfId="5310" xr:uid="{00000000-0005-0000-0000-000012200000}"/>
    <cellStyle name="Normal 9 3 3 3 3 2" xfId="13752" xr:uid="{EF1D3CEE-6B95-4ABE-8F5D-3386AFB0BC66}"/>
    <cellStyle name="Normal 9 3 3 3 4" xfId="9534" xr:uid="{47AE61C6-8129-43F7-BC57-1FFBC471947F}"/>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198A5A76-240A-43F1-BE69-5FA51EAAA390}"/>
    <cellStyle name="Normal 9 3 3 4 2 3" xfId="12092" xr:uid="{A23C999A-A285-4B39-8A6B-D90DCA419720}"/>
    <cellStyle name="Normal 9 3 3 4 3" xfId="5723" xr:uid="{00000000-0005-0000-0000-000016200000}"/>
    <cellStyle name="Normal 9 3 3 4 3 2" xfId="14165" xr:uid="{A952BBE3-108B-4134-BC91-0B1DF7E782DC}"/>
    <cellStyle name="Normal 9 3 3 4 4" xfId="9947" xr:uid="{2DB087CB-D194-4A97-A9A3-739E58E0F1E6}"/>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0D6E2A08-6055-484D-863B-801FA000C5F9}"/>
    <cellStyle name="Normal 9 3 3 5 2 3" xfId="12505" xr:uid="{DB4FB401-5865-463E-A0B5-C2CCC510D35D}"/>
    <cellStyle name="Normal 9 3 3 5 3" xfId="6136" xr:uid="{00000000-0005-0000-0000-00001A200000}"/>
    <cellStyle name="Normal 9 3 3 5 3 2" xfId="14578" xr:uid="{19F48023-750A-4036-BA7F-017A43E61374}"/>
    <cellStyle name="Normal 9 3 3 5 4" xfId="10360" xr:uid="{AF50E79B-73D5-43BC-9140-F4ED6C3AC3BD}"/>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E4D6CE4D-31B5-4C0A-9CE7-812688541877}"/>
    <cellStyle name="Normal 9 3 3 6 2 3" xfId="12918" xr:uid="{1594BE16-2876-4853-8A47-651786C64B16}"/>
    <cellStyle name="Normal 9 3 3 6 3" xfId="6549" xr:uid="{00000000-0005-0000-0000-00001E200000}"/>
    <cellStyle name="Normal 9 3 3 6 3 2" xfId="14991" xr:uid="{F056E7F3-6F0D-41BA-A9C4-5C8F74FCE33D}"/>
    <cellStyle name="Normal 9 3 3 6 4" xfId="10773" xr:uid="{23007289-F5CD-4793-8D48-4F7080EB73EE}"/>
    <cellStyle name="Normal 9 3 3 7" xfId="2678" xr:uid="{00000000-0005-0000-0000-00001F200000}"/>
    <cellStyle name="Normal 9 3 3 7 2" xfId="6962" xr:uid="{00000000-0005-0000-0000-000020200000}"/>
    <cellStyle name="Normal 9 3 3 7 2 2" xfId="15404" xr:uid="{09C98BF9-FCB9-4490-AB28-9E015AA054D0}"/>
    <cellStyle name="Normal 9 3 3 7 3" xfId="11186" xr:uid="{6C4487B9-7BB7-4CDC-873D-29CB2DF958BE}"/>
    <cellStyle name="Normal 9 3 3 8" xfId="4897" xr:uid="{00000000-0005-0000-0000-000021200000}"/>
    <cellStyle name="Normal 9 3 3 8 2" xfId="13339" xr:uid="{4D9D2FC6-14BF-4021-800A-A7A459CF2BAA}"/>
    <cellStyle name="Normal 9 3 3 9" xfId="9121" xr:uid="{324477E5-CECA-43F7-85A9-A7D2DA172F95}"/>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F356AEFD-C775-4E64-8491-D83006D53E50}"/>
    <cellStyle name="Normal 9 3 4 2 2 3" xfId="11681" xr:uid="{A27CF22D-EB89-40E8-AC16-C47D427546D5}"/>
    <cellStyle name="Normal 9 3 4 2 3" xfId="5312" xr:uid="{00000000-0005-0000-0000-000026200000}"/>
    <cellStyle name="Normal 9 3 4 2 3 2" xfId="13754" xr:uid="{DB50A217-090D-48E9-89E8-5356317BCC90}"/>
    <cellStyle name="Normal 9 3 4 2 4" xfId="9536" xr:uid="{8755B8BF-5B64-4301-A62E-15A3F09BC93F}"/>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086BDCD5-86A5-4571-B818-B4DB2CF6F6CF}"/>
    <cellStyle name="Normal 9 3 4 3 2 3" xfId="12094" xr:uid="{0F02CB8E-FADE-46CB-B8D7-75CD24C3414B}"/>
    <cellStyle name="Normal 9 3 4 3 3" xfId="5725" xr:uid="{00000000-0005-0000-0000-00002A200000}"/>
    <cellStyle name="Normal 9 3 4 3 3 2" xfId="14167" xr:uid="{69A81830-F859-4332-81DF-F62CE6EE4091}"/>
    <cellStyle name="Normal 9 3 4 3 4" xfId="9949" xr:uid="{7828A878-2798-4962-9F77-6F5C80212BFD}"/>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7BE459A8-BE7B-459D-816E-1E3F0C85AFE3}"/>
    <cellStyle name="Normal 9 3 4 4 2 3" xfId="12507" xr:uid="{B174D37E-4053-4E25-962E-2025F1C5C14F}"/>
    <cellStyle name="Normal 9 3 4 4 3" xfId="6138" xr:uid="{00000000-0005-0000-0000-00002E200000}"/>
    <cellStyle name="Normal 9 3 4 4 3 2" xfId="14580" xr:uid="{BC6E69B9-35F0-47E7-9954-748AF6B7A680}"/>
    <cellStyle name="Normal 9 3 4 4 4" xfId="10362" xr:uid="{666A2593-3AA1-4FB0-AD27-1A41A9156203}"/>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F0D5F797-4EA4-42F4-9057-68FC2D17AAA9}"/>
    <cellStyle name="Normal 9 3 4 5 2 3" xfId="12920" xr:uid="{D838A0A1-3EE6-49BF-AF58-E3EF2EF4FAF5}"/>
    <cellStyle name="Normal 9 3 4 5 3" xfId="6551" xr:uid="{00000000-0005-0000-0000-000032200000}"/>
    <cellStyle name="Normal 9 3 4 5 3 2" xfId="14993" xr:uid="{B731741E-5A0A-4B7E-A18B-F13112F017A4}"/>
    <cellStyle name="Normal 9 3 4 5 4" xfId="10775" xr:uid="{113520CC-C719-4BC9-A48D-97F8E38FD7D4}"/>
    <cellStyle name="Normal 9 3 4 6" xfId="2680" xr:uid="{00000000-0005-0000-0000-000033200000}"/>
    <cellStyle name="Normal 9 3 4 6 2" xfId="6964" xr:uid="{00000000-0005-0000-0000-000034200000}"/>
    <cellStyle name="Normal 9 3 4 6 2 2" xfId="15406" xr:uid="{1A4C21B2-D9F7-4ED4-A60D-99F2C476D9FE}"/>
    <cellStyle name="Normal 9 3 4 6 3" xfId="11188" xr:uid="{3FE41866-AA94-4125-82A2-56E4774A35E8}"/>
    <cellStyle name="Normal 9 3 4 7" xfId="4899" xr:uid="{00000000-0005-0000-0000-000035200000}"/>
    <cellStyle name="Normal 9 3 4 7 2" xfId="13341" xr:uid="{CCA181CB-ED8F-43AD-AE9B-665C129FC27A}"/>
    <cellStyle name="Normal 9 3 4 8" xfId="9123" xr:uid="{6FF7955C-B98B-4980-8D8E-F06C5999EA12}"/>
    <cellStyle name="Normal 9 3 5" xfId="994" xr:uid="{00000000-0005-0000-0000-000036200000}"/>
    <cellStyle name="Normal 9 3 5 2" xfId="3227" xr:uid="{00000000-0005-0000-0000-000037200000}"/>
    <cellStyle name="Normal 9 3 5 2 2" xfId="7450" xr:uid="{00000000-0005-0000-0000-000038200000}"/>
    <cellStyle name="Normal 9 3 5 2 2 2" xfId="15892" xr:uid="{4FD22452-2C7D-4A4F-9A24-8D28F3E953F3}"/>
    <cellStyle name="Normal 9 3 5 2 3" xfId="11674" xr:uid="{6F8B4240-2A09-4F59-88B9-F5E93DE692FA}"/>
    <cellStyle name="Normal 9 3 5 3" xfId="5305" xr:uid="{00000000-0005-0000-0000-000039200000}"/>
    <cellStyle name="Normal 9 3 5 3 2" xfId="13747" xr:uid="{833CEEE7-9B2B-4654-ACF9-02F62696C6D9}"/>
    <cellStyle name="Normal 9 3 5 4" xfId="9529" xr:uid="{D806F3DA-B834-4F3B-9B4C-61EA990D04DC}"/>
    <cellStyle name="Normal 9 3 6" xfId="1410" xr:uid="{00000000-0005-0000-0000-00003A200000}"/>
    <cellStyle name="Normal 9 3 6 2" xfId="3640" xr:uid="{00000000-0005-0000-0000-00003B200000}"/>
    <cellStyle name="Normal 9 3 6 2 2" xfId="7863" xr:uid="{00000000-0005-0000-0000-00003C200000}"/>
    <cellStyle name="Normal 9 3 6 2 2 2" xfId="16305" xr:uid="{C9B9610B-ED88-4780-BD17-5E7696B3BCDC}"/>
    <cellStyle name="Normal 9 3 6 2 3" xfId="12087" xr:uid="{AD4615BB-C3D3-4591-AE4A-44441EE1E58A}"/>
    <cellStyle name="Normal 9 3 6 3" xfId="5718" xr:uid="{00000000-0005-0000-0000-00003D200000}"/>
    <cellStyle name="Normal 9 3 6 3 2" xfId="14160" xr:uid="{53285300-D6F5-491D-AFBE-CA731CE44B89}"/>
    <cellStyle name="Normal 9 3 6 4" xfId="9942" xr:uid="{8936AB26-B09C-4B55-B0E6-B265223A7042}"/>
    <cellStyle name="Normal 9 3 7" xfId="1823" xr:uid="{00000000-0005-0000-0000-00003E200000}"/>
    <cellStyle name="Normal 9 3 7 2" xfId="4053" xr:uid="{00000000-0005-0000-0000-00003F200000}"/>
    <cellStyle name="Normal 9 3 7 2 2" xfId="8276" xr:uid="{00000000-0005-0000-0000-000040200000}"/>
    <cellStyle name="Normal 9 3 7 2 2 2" xfId="16718" xr:uid="{27DF456C-6F42-4263-A5DA-746ED2E03F88}"/>
    <cellStyle name="Normal 9 3 7 2 3" xfId="12500" xr:uid="{5E7F754D-6E53-42FC-B3A6-6F681A0C443D}"/>
    <cellStyle name="Normal 9 3 7 3" xfId="6131" xr:uid="{00000000-0005-0000-0000-000041200000}"/>
    <cellStyle name="Normal 9 3 7 3 2" xfId="14573" xr:uid="{F252CBF7-1FA9-42A4-9C22-171CEF354149}"/>
    <cellStyle name="Normal 9 3 7 4" xfId="10355" xr:uid="{DF7036E5-D6AA-447C-BD87-A74B48983B0F}"/>
    <cellStyle name="Normal 9 3 8" xfId="2237" xr:uid="{00000000-0005-0000-0000-000042200000}"/>
    <cellStyle name="Normal 9 3 8 2" xfId="4466" xr:uid="{00000000-0005-0000-0000-000043200000}"/>
    <cellStyle name="Normal 9 3 8 2 2" xfId="8689" xr:uid="{00000000-0005-0000-0000-000044200000}"/>
    <cellStyle name="Normal 9 3 8 2 2 2" xfId="17131" xr:uid="{2E634390-B84F-4FE4-98B7-77833585765A}"/>
    <cellStyle name="Normal 9 3 8 2 3" xfId="12913" xr:uid="{C553E301-B7D4-4870-B4EC-94DEAEC39E0D}"/>
    <cellStyle name="Normal 9 3 8 3" xfId="6544" xr:uid="{00000000-0005-0000-0000-000045200000}"/>
    <cellStyle name="Normal 9 3 8 3 2" xfId="14986" xr:uid="{F2AFE184-006F-442F-8CD1-BEDA8145C646}"/>
    <cellStyle name="Normal 9 3 8 4" xfId="10768" xr:uid="{F79F542D-80DA-4111-BDB6-E75816CC29C3}"/>
    <cellStyle name="Normal 9 3 9" xfId="2673" xr:uid="{00000000-0005-0000-0000-000046200000}"/>
    <cellStyle name="Normal 9 3 9 2" xfId="6957" xr:uid="{00000000-0005-0000-0000-000047200000}"/>
    <cellStyle name="Normal 9 3 9 2 2" xfId="15399" xr:uid="{00A2C402-8DB3-4563-A877-CE5FBACCBB93}"/>
    <cellStyle name="Normal 9 3 9 3" xfId="11181" xr:uid="{8FE8AE62-5638-48F5-9B58-7159A7C45AF8}"/>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5DBF2D4A-5FE1-41E2-B5C0-1A6E355FE4A3}"/>
    <cellStyle name="Normal 9 5 2 2 2 3" xfId="11683" xr:uid="{5D92B648-9349-4BFF-BF1B-07F652C14269}"/>
    <cellStyle name="Normal 9 5 2 2 3" xfId="5314" xr:uid="{00000000-0005-0000-0000-00004F200000}"/>
    <cellStyle name="Normal 9 5 2 2 3 2" xfId="13756" xr:uid="{1EEE04DB-342C-4DFE-A564-FDD52A05B786}"/>
    <cellStyle name="Normal 9 5 2 2 4" xfId="9538" xr:uid="{4E1A3FC9-0B70-4ADB-9291-2567A8B0C034}"/>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97B5CD26-2111-4035-B0FA-B20C3C5C9B7C}"/>
    <cellStyle name="Normal 9 5 2 3 2 3" xfId="12096" xr:uid="{46E042B6-74DF-47EC-9B7A-67E5439D46D4}"/>
    <cellStyle name="Normal 9 5 2 3 3" xfId="5727" xr:uid="{00000000-0005-0000-0000-000053200000}"/>
    <cellStyle name="Normal 9 5 2 3 3 2" xfId="14169" xr:uid="{46BB2BB9-E5E7-4F22-A2D6-3B9E9E59C35A}"/>
    <cellStyle name="Normal 9 5 2 3 4" xfId="9951" xr:uid="{5DFE4543-9A6F-44D8-97F2-BB315C9066D3}"/>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0D4D1F4C-8F2C-4C5F-9DEA-3343F3FA7223}"/>
    <cellStyle name="Normal 9 5 2 4 2 3" xfId="12509" xr:uid="{9A7CD0BD-9EF5-4F94-B55E-5CD431C8342E}"/>
    <cellStyle name="Normal 9 5 2 4 3" xfId="6140" xr:uid="{00000000-0005-0000-0000-000057200000}"/>
    <cellStyle name="Normal 9 5 2 4 3 2" xfId="14582" xr:uid="{4AE7C4FF-C511-41A7-AB56-ADE18738CB9A}"/>
    <cellStyle name="Normal 9 5 2 4 4" xfId="10364" xr:uid="{F83520B2-C4FF-4FC3-8CEF-446516E996E7}"/>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F3B1AB87-30C2-48BD-8DB1-A8F7366CBB50}"/>
    <cellStyle name="Normal 9 5 2 5 2 3" xfId="12922" xr:uid="{4DC07526-74C0-47F2-A72A-331A01092B74}"/>
    <cellStyle name="Normal 9 5 2 5 3" xfId="6553" xr:uid="{00000000-0005-0000-0000-00005B200000}"/>
    <cellStyle name="Normal 9 5 2 5 3 2" xfId="14995" xr:uid="{BE61F4F8-B7CA-4D46-88A6-26B72015D11E}"/>
    <cellStyle name="Normal 9 5 2 5 4" xfId="10777" xr:uid="{DF93CAE4-6922-4AE1-B99A-9D3D26697335}"/>
    <cellStyle name="Normal 9 5 2 6" xfId="2682" xr:uid="{00000000-0005-0000-0000-00005C200000}"/>
    <cellStyle name="Normal 9 5 2 6 2" xfId="6966" xr:uid="{00000000-0005-0000-0000-00005D200000}"/>
    <cellStyle name="Normal 9 5 2 6 2 2" xfId="15408" xr:uid="{A91ADB96-9B13-4DB4-BEE2-8D42AFF13265}"/>
    <cellStyle name="Normal 9 5 2 6 3" xfId="11190" xr:uid="{9CD633E3-831E-4406-B335-A4132D68DC39}"/>
    <cellStyle name="Normal 9 5 2 7" xfId="4901" xr:uid="{00000000-0005-0000-0000-00005E200000}"/>
    <cellStyle name="Normal 9 5 2 7 2" xfId="13343" xr:uid="{54C83AB6-4B69-4EBB-A1E9-293738F6127B}"/>
    <cellStyle name="Normal 9 5 2 8" xfId="9125" xr:uid="{66FBDD53-78A7-4CA3-897A-E5AD2A9FD32C}"/>
    <cellStyle name="Normal 9 5 3" xfId="1003" xr:uid="{00000000-0005-0000-0000-00005F200000}"/>
    <cellStyle name="Normal 9 5 3 2" xfId="3235" xr:uid="{00000000-0005-0000-0000-000060200000}"/>
    <cellStyle name="Normal 9 5 3 2 2" xfId="7458" xr:uid="{00000000-0005-0000-0000-000061200000}"/>
    <cellStyle name="Normal 9 5 3 2 2 2" xfId="15900" xr:uid="{DA43B2EE-B7E2-4264-A650-D6B971184505}"/>
    <cellStyle name="Normal 9 5 3 2 3" xfId="11682" xr:uid="{63CA4F45-C63E-43BD-A2F3-9107AAAF7ABD}"/>
    <cellStyle name="Normal 9 5 3 3" xfId="5313" xr:uid="{00000000-0005-0000-0000-000062200000}"/>
    <cellStyle name="Normal 9 5 3 3 2" xfId="13755" xr:uid="{2CAE5BE1-378B-44B3-A082-5C349C981A8F}"/>
    <cellStyle name="Normal 9 5 3 4" xfId="9537" xr:uid="{3089D6E0-38AB-47F3-AFDD-2BECCACE6EE9}"/>
    <cellStyle name="Normal 9 5 4" xfId="1418" xr:uid="{00000000-0005-0000-0000-000063200000}"/>
    <cellStyle name="Normal 9 5 4 2" xfId="3648" xr:uid="{00000000-0005-0000-0000-000064200000}"/>
    <cellStyle name="Normal 9 5 4 2 2" xfId="7871" xr:uid="{00000000-0005-0000-0000-000065200000}"/>
    <cellStyle name="Normal 9 5 4 2 2 2" xfId="16313" xr:uid="{00DB39F3-E77F-4B96-9796-AF4A8593B98F}"/>
    <cellStyle name="Normal 9 5 4 2 3" xfId="12095" xr:uid="{C5C660FB-C5B0-4B5B-822E-870366C90B5E}"/>
    <cellStyle name="Normal 9 5 4 3" xfId="5726" xr:uid="{00000000-0005-0000-0000-000066200000}"/>
    <cellStyle name="Normal 9 5 4 3 2" xfId="14168" xr:uid="{A19C14C2-86F6-43DF-8A5D-DA6E4CD625C0}"/>
    <cellStyle name="Normal 9 5 4 4" xfId="9950" xr:uid="{FAE37240-D895-4D72-8296-B4E8B810C3A3}"/>
    <cellStyle name="Normal 9 5 5" xfId="1831" xr:uid="{00000000-0005-0000-0000-000067200000}"/>
    <cellStyle name="Normal 9 5 5 2" xfId="4061" xr:uid="{00000000-0005-0000-0000-000068200000}"/>
    <cellStyle name="Normal 9 5 5 2 2" xfId="8284" xr:uid="{00000000-0005-0000-0000-000069200000}"/>
    <cellStyle name="Normal 9 5 5 2 2 2" xfId="16726" xr:uid="{A5F27C7A-6BF1-4EFE-82B5-179DEF8FA323}"/>
    <cellStyle name="Normal 9 5 5 2 3" xfId="12508" xr:uid="{1391B3EB-097A-454D-9444-ABFD8386620C}"/>
    <cellStyle name="Normal 9 5 5 3" xfId="6139" xr:uid="{00000000-0005-0000-0000-00006A200000}"/>
    <cellStyle name="Normal 9 5 5 3 2" xfId="14581" xr:uid="{75878879-5E4D-4B79-9FA2-58CF337C7B84}"/>
    <cellStyle name="Normal 9 5 5 4" xfId="10363" xr:uid="{E6D18E3E-3449-43ED-B486-A4CC0F5CCF19}"/>
    <cellStyle name="Normal 9 5 6" xfId="2245" xr:uid="{00000000-0005-0000-0000-00006B200000}"/>
    <cellStyle name="Normal 9 5 6 2" xfId="4474" xr:uid="{00000000-0005-0000-0000-00006C200000}"/>
    <cellStyle name="Normal 9 5 6 2 2" xfId="8697" xr:uid="{00000000-0005-0000-0000-00006D200000}"/>
    <cellStyle name="Normal 9 5 6 2 2 2" xfId="17139" xr:uid="{32599E65-42FC-40D9-B03D-3C0EDCB6C601}"/>
    <cellStyle name="Normal 9 5 6 2 3" xfId="12921" xr:uid="{8A3754A7-40D2-4C4F-9934-BEB8A20DBF41}"/>
    <cellStyle name="Normal 9 5 6 3" xfId="6552" xr:uid="{00000000-0005-0000-0000-00006E200000}"/>
    <cellStyle name="Normal 9 5 6 3 2" xfId="14994" xr:uid="{29615943-7A36-451D-8AC1-84ADD050C717}"/>
    <cellStyle name="Normal 9 5 6 4" xfId="10776" xr:uid="{2EA51E94-F3DA-4E92-A345-6C3C6D94982E}"/>
    <cellStyle name="Normal 9 5 7" xfId="2681" xr:uid="{00000000-0005-0000-0000-00006F200000}"/>
    <cellStyle name="Normal 9 5 7 2" xfId="6965" xr:uid="{00000000-0005-0000-0000-000070200000}"/>
    <cellStyle name="Normal 9 5 7 2 2" xfId="15407" xr:uid="{D600F3C2-76C9-4F5D-9FA5-2EDFBFBC8B51}"/>
    <cellStyle name="Normal 9 5 7 3" xfId="11189" xr:uid="{7E3AB76E-97E4-4222-9265-7FD5100E34AB}"/>
    <cellStyle name="Normal 9 5 8" xfId="4900" xr:uid="{00000000-0005-0000-0000-000071200000}"/>
    <cellStyle name="Normal 9 5 8 2" xfId="13342" xr:uid="{3C30F382-14C5-4A02-A8A4-EA9C4D5AB330}"/>
    <cellStyle name="Normal 9 5 9" xfId="9124" xr:uid="{03063285-EEF0-4551-AE0F-2DB1D7F0386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C3D60CD3-B9A7-4A0E-9743-41CD7CBD05B0}"/>
    <cellStyle name="Normal 9 6 2 2 3" xfId="11684" xr:uid="{D7AD5D17-2E9D-4637-839A-56E3C8A54F42}"/>
    <cellStyle name="Normal 9 6 2 3" xfId="5315" xr:uid="{00000000-0005-0000-0000-000076200000}"/>
    <cellStyle name="Normal 9 6 2 3 2" xfId="13757" xr:uid="{8F0293B4-5E5B-42FD-9E8F-A2CE355AA666}"/>
    <cellStyle name="Normal 9 6 2 4" xfId="9539" xr:uid="{62B34AAA-ABEE-4B05-B619-9E2BF3FDC01F}"/>
    <cellStyle name="Normal 9 6 3" xfId="1420" xr:uid="{00000000-0005-0000-0000-000077200000}"/>
    <cellStyle name="Normal 9 6 3 2" xfId="3650" xr:uid="{00000000-0005-0000-0000-000078200000}"/>
    <cellStyle name="Normal 9 6 3 2 2" xfId="7873" xr:uid="{00000000-0005-0000-0000-000079200000}"/>
    <cellStyle name="Normal 9 6 3 2 2 2" xfId="16315" xr:uid="{137C8D2B-16C5-49F0-BCB6-F833E0347F54}"/>
    <cellStyle name="Normal 9 6 3 2 3" xfId="12097" xr:uid="{F7FAFDC9-F21C-45CF-9DBD-4946D6F965F2}"/>
    <cellStyle name="Normal 9 6 3 3" xfId="5728" xr:uid="{00000000-0005-0000-0000-00007A200000}"/>
    <cellStyle name="Normal 9 6 3 3 2" xfId="14170" xr:uid="{3A4D12AB-D455-4A24-B7E0-1B3BD5C517BF}"/>
    <cellStyle name="Normal 9 6 3 4" xfId="9952" xr:uid="{4FB7E922-8146-4FC0-B16A-18E51AEA8EFB}"/>
    <cellStyle name="Normal 9 6 4" xfId="1833" xr:uid="{00000000-0005-0000-0000-00007B200000}"/>
    <cellStyle name="Normal 9 6 4 2" xfId="4063" xr:uid="{00000000-0005-0000-0000-00007C200000}"/>
    <cellStyle name="Normal 9 6 4 2 2" xfId="8286" xr:uid="{00000000-0005-0000-0000-00007D200000}"/>
    <cellStyle name="Normal 9 6 4 2 2 2" xfId="16728" xr:uid="{DB905887-2D2C-469D-8920-E14D5B5ABF97}"/>
    <cellStyle name="Normal 9 6 4 2 3" xfId="12510" xr:uid="{71AD274E-BF07-4885-BA6A-752A29E3CC5B}"/>
    <cellStyle name="Normal 9 6 4 3" xfId="6141" xr:uid="{00000000-0005-0000-0000-00007E200000}"/>
    <cellStyle name="Normal 9 6 4 3 2" xfId="14583" xr:uid="{1C1EF1C5-B9C7-402F-8B30-674B2A30659C}"/>
    <cellStyle name="Normal 9 6 4 4" xfId="10365" xr:uid="{2F829B70-D86D-412F-BFC5-CCCECCF7DA47}"/>
    <cellStyle name="Normal 9 6 5" xfId="2247" xr:uid="{00000000-0005-0000-0000-00007F200000}"/>
    <cellStyle name="Normal 9 6 5 2" xfId="4476" xr:uid="{00000000-0005-0000-0000-000080200000}"/>
    <cellStyle name="Normal 9 6 5 2 2" xfId="8699" xr:uid="{00000000-0005-0000-0000-000081200000}"/>
    <cellStyle name="Normal 9 6 5 2 2 2" xfId="17141" xr:uid="{8B416DE3-C049-46AC-B642-60DCDE530C03}"/>
    <cellStyle name="Normal 9 6 5 2 3" xfId="12923" xr:uid="{C6A8A62B-CFD0-40C5-B087-5A0FA354E6A3}"/>
    <cellStyle name="Normal 9 6 5 3" xfId="6554" xr:uid="{00000000-0005-0000-0000-000082200000}"/>
    <cellStyle name="Normal 9 6 5 3 2" xfId="14996" xr:uid="{90619B58-CD0B-4F98-AAF8-A9C46620FB48}"/>
    <cellStyle name="Normal 9 6 5 4" xfId="10778" xr:uid="{F9226B67-CD68-4D2A-801B-824D851DDF08}"/>
    <cellStyle name="Normal 9 6 6" xfId="2683" xr:uid="{00000000-0005-0000-0000-000083200000}"/>
    <cellStyle name="Normal 9 6 6 2" xfId="6967" xr:uid="{00000000-0005-0000-0000-000084200000}"/>
    <cellStyle name="Normal 9 6 6 2 2" xfId="15409" xr:uid="{13F085DD-F31C-42DA-9748-1CA6FF5A8740}"/>
    <cellStyle name="Normal 9 6 6 3" xfId="11191" xr:uid="{92814BB9-5FB0-40A7-B93D-7B2A69E74E27}"/>
    <cellStyle name="Normal 9 6 7" xfId="4902" xr:uid="{00000000-0005-0000-0000-000085200000}"/>
    <cellStyle name="Normal 9 6 7 2" xfId="13344" xr:uid="{98543AAA-FA3E-479E-AA41-FFF6864D2D98}"/>
    <cellStyle name="Normal 9 6 8" xfId="9126" xr:uid="{F310B16A-1517-4BBF-A02E-D9EBD45394D8}"/>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9B61305F-1BC8-41DE-87C0-4426A51B756D}"/>
    <cellStyle name="Note 2 2 10 3" xfId="11272" xr:uid="{958C4104-97B0-4D1F-BC01-E6EAF1A8318D}"/>
    <cellStyle name="Note 2 2 11" xfId="4903" xr:uid="{00000000-0005-0000-0000-000094200000}"/>
    <cellStyle name="Note 2 2 11 2" xfId="13345" xr:uid="{A2569C0C-B389-4CA7-81F3-E7E4F76D1FD6}"/>
    <cellStyle name="Note 2 2 12" xfId="9127" xr:uid="{6726FCEC-0CAD-42A7-806B-04A688D006D9}"/>
    <cellStyle name="Note 2 2 2" xfId="546" xr:uid="{00000000-0005-0000-0000-000095200000}"/>
    <cellStyle name="Note 2 2 2 10" xfId="4904" xr:uid="{00000000-0005-0000-0000-000096200000}"/>
    <cellStyle name="Note 2 2 2 10 2" xfId="13346" xr:uid="{F29D0023-AFCC-4768-AA0D-330C391AB69C}"/>
    <cellStyle name="Note 2 2 2 11" xfId="9128" xr:uid="{D19AF801-CCDF-41A6-A283-A0D92D6CEFDC}"/>
    <cellStyle name="Note 2 2 2 2" xfId="547" xr:uid="{00000000-0005-0000-0000-000097200000}"/>
    <cellStyle name="Note 2 2 2 2 10" xfId="9129" xr:uid="{5C7A3E54-7299-423B-87E7-ED597EFD3046}"/>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85311421-CAE4-49CC-8AB8-C031D51C7713}"/>
    <cellStyle name="Note 2 2 2 2 2 2 3" xfId="11687" xr:uid="{7C4F2AC5-E3C3-44C2-B5D1-C90794CB221B}"/>
    <cellStyle name="Note 2 2 2 2 2 3" xfId="5318" xr:uid="{00000000-0005-0000-0000-00009B200000}"/>
    <cellStyle name="Note 2 2 2 2 2 3 2" xfId="13760" xr:uid="{C3B67C1F-BC27-4797-AD57-4FEAA6CC2F1B}"/>
    <cellStyle name="Note 2 2 2 2 2 4" xfId="9542" xr:uid="{3C89F3B9-3A3D-4047-B550-6D0D153138C6}"/>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A575DE63-63A5-4672-A040-CAB1CFF1B3B5}"/>
    <cellStyle name="Note 2 2 2 2 3 2 3" xfId="12100" xr:uid="{C16F77DF-2C43-49F6-8265-41883ACD37C2}"/>
    <cellStyle name="Note 2 2 2 2 3 3" xfId="5731" xr:uid="{00000000-0005-0000-0000-00009F200000}"/>
    <cellStyle name="Note 2 2 2 2 3 3 2" xfId="14173" xr:uid="{18B5C459-6C0F-472A-88F5-8BCF49BBFADB}"/>
    <cellStyle name="Note 2 2 2 2 3 4" xfId="9955" xr:uid="{86A5E6E3-8598-4E75-8D25-0740625846FF}"/>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943A432D-DB0A-45BF-BE10-A5C706478ED7}"/>
    <cellStyle name="Note 2 2 2 2 4 2 3" xfId="12513" xr:uid="{E96963E9-1E52-41A6-A0B0-D432DEDF1701}"/>
    <cellStyle name="Note 2 2 2 2 4 3" xfId="6144" xr:uid="{00000000-0005-0000-0000-0000A3200000}"/>
    <cellStyle name="Note 2 2 2 2 4 3 2" xfId="14586" xr:uid="{16F93E9A-7BB4-472E-BC46-0CB88A4310C3}"/>
    <cellStyle name="Note 2 2 2 2 4 4" xfId="10368" xr:uid="{924EE527-C4A5-4EC1-9A17-E69A40495095}"/>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1E4490A7-499E-4F95-B827-AE1F67FE8FD5}"/>
    <cellStyle name="Note 2 2 2 2 5 2 3" xfId="12926" xr:uid="{27F93934-448D-4323-957D-1FF4C87A565A}"/>
    <cellStyle name="Note 2 2 2 2 5 3" xfId="6557" xr:uid="{00000000-0005-0000-0000-0000A7200000}"/>
    <cellStyle name="Note 2 2 2 2 5 3 2" xfId="14999" xr:uid="{2391B262-22B0-45C2-A5B1-E373836C2AD3}"/>
    <cellStyle name="Note 2 2 2 2 5 4" xfId="10781" xr:uid="{4919EA73-18B0-4EFB-94D3-A49A17E3AA83}"/>
    <cellStyle name="Note 2 2 2 2 6" xfId="2686" xr:uid="{00000000-0005-0000-0000-0000A8200000}"/>
    <cellStyle name="Note 2 2 2 2 6 2" xfId="6970" xr:uid="{00000000-0005-0000-0000-0000A9200000}"/>
    <cellStyle name="Note 2 2 2 2 6 2 2" xfId="15412" xr:uid="{7F4013DC-C6DA-4C40-A973-0F40120601D7}"/>
    <cellStyle name="Note 2 2 2 2 6 3" xfId="11194" xr:uid="{0247FD00-2ACA-4148-8E3F-AF5184553784}"/>
    <cellStyle name="Note 2 2 2 2 7" xfId="2745" xr:uid="{00000000-0005-0000-0000-0000AA200000}"/>
    <cellStyle name="Note 2 2 2 2 8" xfId="2826" xr:uid="{00000000-0005-0000-0000-0000AB200000}"/>
    <cellStyle name="Note 2 2 2 2 8 2" xfId="7050" xr:uid="{00000000-0005-0000-0000-0000AC200000}"/>
    <cellStyle name="Note 2 2 2 2 8 2 2" xfId="15492" xr:uid="{26244F77-A802-4D70-B779-EF98280D5E74}"/>
    <cellStyle name="Note 2 2 2 2 8 3" xfId="11274" xr:uid="{9CE41777-BCEC-47C9-989C-BDF194F7D948}"/>
    <cellStyle name="Note 2 2 2 2 9" xfId="4905" xr:uid="{00000000-0005-0000-0000-0000AD200000}"/>
    <cellStyle name="Note 2 2 2 2 9 2" xfId="13347" xr:uid="{DFEA86A2-35EF-4908-8C35-EF70C8339998}"/>
    <cellStyle name="Note 2 2 2 3" xfId="1007" xr:uid="{00000000-0005-0000-0000-0000AE200000}"/>
    <cellStyle name="Note 2 2 2 3 2" xfId="3239" xr:uid="{00000000-0005-0000-0000-0000AF200000}"/>
    <cellStyle name="Note 2 2 2 3 2 2" xfId="7462" xr:uid="{00000000-0005-0000-0000-0000B0200000}"/>
    <cellStyle name="Note 2 2 2 3 2 2 2" xfId="15904" xr:uid="{F897FC5B-EA10-4A8A-BAC1-2664BFFAAD08}"/>
    <cellStyle name="Note 2 2 2 3 2 3" xfId="11686" xr:uid="{BFB516CF-B495-4864-9080-C3A067CD96F1}"/>
    <cellStyle name="Note 2 2 2 3 3" xfId="5317" xr:uid="{00000000-0005-0000-0000-0000B1200000}"/>
    <cellStyle name="Note 2 2 2 3 3 2" xfId="13759" xr:uid="{416F6C64-D431-4C0D-9571-C42083D2B0FC}"/>
    <cellStyle name="Note 2 2 2 3 4" xfId="9541" xr:uid="{C149C47B-7885-4199-8791-DA6CF6DD53C9}"/>
    <cellStyle name="Note 2 2 2 4" xfId="1422" xr:uid="{00000000-0005-0000-0000-0000B2200000}"/>
    <cellStyle name="Note 2 2 2 4 2" xfId="3652" xr:uid="{00000000-0005-0000-0000-0000B3200000}"/>
    <cellStyle name="Note 2 2 2 4 2 2" xfId="7875" xr:uid="{00000000-0005-0000-0000-0000B4200000}"/>
    <cellStyle name="Note 2 2 2 4 2 2 2" xfId="16317" xr:uid="{A2ECC0ED-72AE-4161-9B08-E9189947D6FC}"/>
    <cellStyle name="Note 2 2 2 4 2 3" xfId="12099" xr:uid="{BC6CD2C9-4DC2-43EA-8D2F-03156BAD00BC}"/>
    <cellStyle name="Note 2 2 2 4 3" xfId="5730" xr:uid="{00000000-0005-0000-0000-0000B5200000}"/>
    <cellStyle name="Note 2 2 2 4 3 2" xfId="14172" xr:uid="{97AFDDC4-16E6-403B-B299-635D5572B323}"/>
    <cellStyle name="Note 2 2 2 4 4" xfId="9954" xr:uid="{A006005C-8C6A-452E-954E-570208F61CFB}"/>
    <cellStyle name="Note 2 2 2 5" xfId="1836" xr:uid="{00000000-0005-0000-0000-0000B6200000}"/>
    <cellStyle name="Note 2 2 2 5 2" xfId="4065" xr:uid="{00000000-0005-0000-0000-0000B7200000}"/>
    <cellStyle name="Note 2 2 2 5 2 2" xfId="8288" xr:uid="{00000000-0005-0000-0000-0000B8200000}"/>
    <cellStyle name="Note 2 2 2 5 2 2 2" xfId="16730" xr:uid="{A3CF7585-138F-4190-A6F3-96127CB72379}"/>
    <cellStyle name="Note 2 2 2 5 2 3" xfId="12512" xr:uid="{9D90DD4B-778A-49D5-8E63-16C669A1211F}"/>
    <cellStyle name="Note 2 2 2 5 3" xfId="6143" xr:uid="{00000000-0005-0000-0000-0000B9200000}"/>
    <cellStyle name="Note 2 2 2 5 3 2" xfId="14585" xr:uid="{AA32C0BA-C6CE-45D5-9FAB-CC710B75FE0D}"/>
    <cellStyle name="Note 2 2 2 5 4" xfId="10367" xr:uid="{B0E7C1F5-029B-4A7A-9FFE-AFF646A3A170}"/>
    <cellStyle name="Note 2 2 2 6" xfId="2249" xr:uid="{00000000-0005-0000-0000-0000BA200000}"/>
    <cellStyle name="Note 2 2 2 6 2" xfId="4478" xr:uid="{00000000-0005-0000-0000-0000BB200000}"/>
    <cellStyle name="Note 2 2 2 6 2 2" xfId="8701" xr:uid="{00000000-0005-0000-0000-0000BC200000}"/>
    <cellStyle name="Note 2 2 2 6 2 2 2" xfId="17143" xr:uid="{C39E380A-888E-4CC1-BC4F-B17E181EA99C}"/>
    <cellStyle name="Note 2 2 2 6 2 3" xfId="12925" xr:uid="{BC8399C0-B510-4119-8A00-505A4F066EF5}"/>
    <cellStyle name="Note 2 2 2 6 3" xfId="6556" xr:uid="{00000000-0005-0000-0000-0000BD200000}"/>
    <cellStyle name="Note 2 2 2 6 3 2" xfId="14998" xr:uid="{436DFBC2-40D9-4FB3-8B9D-3537F4E0BC19}"/>
    <cellStyle name="Note 2 2 2 6 4" xfId="10780" xr:uid="{72320AE4-CCCB-4310-8136-8310C90FFEA7}"/>
    <cellStyle name="Note 2 2 2 7" xfId="2685" xr:uid="{00000000-0005-0000-0000-0000BE200000}"/>
    <cellStyle name="Note 2 2 2 7 2" xfId="6969" xr:uid="{00000000-0005-0000-0000-0000BF200000}"/>
    <cellStyle name="Note 2 2 2 7 2 2" xfId="15411" xr:uid="{A7F06C2C-23CE-4915-8730-2364B1B6EF40}"/>
    <cellStyle name="Note 2 2 2 7 3" xfId="11193" xr:uid="{A66C3F79-F601-442C-B41B-2C8DB2543041}"/>
    <cellStyle name="Note 2 2 2 8" xfId="2744" xr:uid="{00000000-0005-0000-0000-0000C0200000}"/>
    <cellStyle name="Note 2 2 2 9" xfId="2825" xr:uid="{00000000-0005-0000-0000-0000C1200000}"/>
    <cellStyle name="Note 2 2 2 9 2" xfId="7049" xr:uid="{00000000-0005-0000-0000-0000C2200000}"/>
    <cellStyle name="Note 2 2 2 9 2 2" xfId="15491" xr:uid="{27B2A584-9EF7-491B-95B4-0F15988D5424}"/>
    <cellStyle name="Note 2 2 2 9 3" xfId="11273" xr:uid="{EB2A10DB-3ACC-4362-AF8A-DE0CF8D9552D}"/>
    <cellStyle name="Note 2 2 3" xfId="548" xr:uid="{00000000-0005-0000-0000-0000C3200000}"/>
    <cellStyle name="Note 2 2 3 10" xfId="9130" xr:uid="{7649E684-1B4C-47E6-9623-51F0F220AE74}"/>
    <cellStyle name="Note 2 2 3 2" xfId="1009" xr:uid="{00000000-0005-0000-0000-0000C4200000}"/>
    <cellStyle name="Note 2 2 3 2 2" xfId="3241" xr:uid="{00000000-0005-0000-0000-0000C5200000}"/>
    <cellStyle name="Note 2 2 3 2 2 2" xfId="7464" xr:uid="{00000000-0005-0000-0000-0000C6200000}"/>
    <cellStyle name="Note 2 2 3 2 2 2 2" xfId="15906" xr:uid="{C4EF7459-D017-4911-8E46-2DF26B0172C1}"/>
    <cellStyle name="Note 2 2 3 2 2 3" xfId="11688" xr:uid="{97135646-5B3B-4219-A3CE-00E3D9E7038A}"/>
    <cellStyle name="Note 2 2 3 2 3" xfId="5319" xr:uid="{00000000-0005-0000-0000-0000C7200000}"/>
    <cellStyle name="Note 2 2 3 2 3 2" xfId="13761" xr:uid="{3FAD56F9-CB96-49B9-A054-A16714F2E959}"/>
    <cellStyle name="Note 2 2 3 2 4" xfId="9543" xr:uid="{D12773E8-0116-44A6-9574-E9922DA9D0B0}"/>
    <cellStyle name="Note 2 2 3 3" xfId="1424" xr:uid="{00000000-0005-0000-0000-0000C8200000}"/>
    <cellStyle name="Note 2 2 3 3 2" xfId="3654" xr:uid="{00000000-0005-0000-0000-0000C9200000}"/>
    <cellStyle name="Note 2 2 3 3 2 2" xfId="7877" xr:uid="{00000000-0005-0000-0000-0000CA200000}"/>
    <cellStyle name="Note 2 2 3 3 2 2 2" xfId="16319" xr:uid="{8D8491FE-E1F3-43BD-B6AB-3A03A480C892}"/>
    <cellStyle name="Note 2 2 3 3 2 3" xfId="12101" xr:uid="{5723F5B4-593D-4829-8593-BF613300A019}"/>
    <cellStyle name="Note 2 2 3 3 3" xfId="5732" xr:uid="{00000000-0005-0000-0000-0000CB200000}"/>
    <cellStyle name="Note 2 2 3 3 3 2" xfId="14174" xr:uid="{91FB8C70-1069-45AF-9A5C-D41E703636B3}"/>
    <cellStyle name="Note 2 2 3 3 4" xfId="9956" xr:uid="{D46C698F-2C9E-4AA6-9568-02FF09B02C44}"/>
    <cellStyle name="Note 2 2 3 4" xfId="1838" xr:uid="{00000000-0005-0000-0000-0000CC200000}"/>
    <cellStyle name="Note 2 2 3 4 2" xfId="4067" xr:uid="{00000000-0005-0000-0000-0000CD200000}"/>
    <cellStyle name="Note 2 2 3 4 2 2" xfId="8290" xr:uid="{00000000-0005-0000-0000-0000CE200000}"/>
    <cellStyle name="Note 2 2 3 4 2 2 2" xfId="16732" xr:uid="{3761C8B5-C5EC-4DA4-9395-8FFBA67BD2EA}"/>
    <cellStyle name="Note 2 2 3 4 2 3" xfId="12514" xr:uid="{52C42250-0081-4D86-BFB0-E245E456B8DD}"/>
    <cellStyle name="Note 2 2 3 4 3" xfId="6145" xr:uid="{00000000-0005-0000-0000-0000CF200000}"/>
    <cellStyle name="Note 2 2 3 4 3 2" xfId="14587" xr:uid="{D14FFC4F-8C3F-45A7-8979-BB4EEA182353}"/>
    <cellStyle name="Note 2 2 3 4 4" xfId="10369" xr:uid="{F456BB3D-AFD7-4A71-9816-525DFF29563C}"/>
    <cellStyle name="Note 2 2 3 5" xfId="2251" xr:uid="{00000000-0005-0000-0000-0000D0200000}"/>
    <cellStyle name="Note 2 2 3 5 2" xfId="4480" xr:uid="{00000000-0005-0000-0000-0000D1200000}"/>
    <cellStyle name="Note 2 2 3 5 2 2" xfId="8703" xr:uid="{00000000-0005-0000-0000-0000D2200000}"/>
    <cellStyle name="Note 2 2 3 5 2 2 2" xfId="17145" xr:uid="{D24E743D-80E3-4B29-92C9-758D32757AD8}"/>
    <cellStyle name="Note 2 2 3 5 2 3" xfId="12927" xr:uid="{A6DA7228-6B72-437A-ADD4-8988C118EA89}"/>
    <cellStyle name="Note 2 2 3 5 3" xfId="6558" xr:uid="{00000000-0005-0000-0000-0000D3200000}"/>
    <cellStyle name="Note 2 2 3 5 3 2" xfId="15000" xr:uid="{05832869-8D68-42C8-A09A-BA7114B054C9}"/>
    <cellStyle name="Note 2 2 3 5 4" xfId="10782" xr:uid="{45BCA8FA-FE22-4BB7-A9EB-7B94006454E6}"/>
    <cellStyle name="Note 2 2 3 6" xfId="2687" xr:uid="{00000000-0005-0000-0000-0000D4200000}"/>
    <cellStyle name="Note 2 2 3 6 2" xfId="6971" xr:uid="{00000000-0005-0000-0000-0000D5200000}"/>
    <cellStyle name="Note 2 2 3 6 2 2" xfId="15413" xr:uid="{073B2FCD-B459-4CE6-ACB7-9D78088B81E5}"/>
    <cellStyle name="Note 2 2 3 6 3" xfId="11195" xr:uid="{E33CD29A-41F5-44C2-9DFB-4732623ADB01}"/>
    <cellStyle name="Note 2 2 3 7" xfId="2746" xr:uid="{00000000-0005-0000-0000-0000D6200000}"/>
    <cellStyle name="Note 2 2 3 8" xfId="2827" xr:uid="{00000000-0005-0000-0000-0000D7200000}"/>
    <cellStyle name="Note 2 2 3 8 2" xfId="7051" xr:uid="{00000000-0005-0000-0000-0000D8200000}"/>
    <cellStyle name="Note 2 2 3 8 2 2" xfId="15493" xr:uid="{88809D34-706D-463C-8BC8-32ADEBCD13BA}"/>
    <cellStyle name="Note 2 2 3 8 3" xfId="11275" xr:uid="{31AA9990-B4AE-42D4-8A72-07943B88F224}"/>
    <cellStyle name="Note 2 2 3 9" xfId="4906" xr:uid="{00000000-0005-0000-0000-0000D9200000}"/>
    <cellStyle name="Note 2 2 3 9 2" xfId="13348" xr:uid="{5AF66D6D-A0EE-46E7-BBD4-FDB30583D7C8}"/>
    <cellStyle name="Note 2 2 4" xfId="1006" xr:uid="{00000000-0005-0000-0000-0000DA200000}"/>
    <cellStyle name="Note 2 2 4 2" xfId="3238" xr:uid="{00000000-0005-0000-0000-0000DB200000}"/>
    <cellStyle name="Note 2 2 4 2 2" xfId="7461" xr:uid="{00000000-0005-0000-0000-0000DC200000}"/>
    <cellStyle name="Note 2 2 4 2 2 2" xfId="15903" xr:uid="{EFCBDE3D-4A97-41FC-877E-F7817BDCBC00}"/>
    <cellStyle name="Note 2 2 4 2 3" xfId="11685" xr:uid="{5CD09370-4316-4D10-BD3D-6B8C11FA2660}"/>
    <cellStyle name="Note 2 2 4 3" xfId="5316" xr:uid="{00000000-0005-0000-0000-0000DD200000}"/>
    <cellStyle name="Note 2 2 4 3 2" xfId="13758" xr:uid="{2029292A-9CC2-4B24-84B9-5CC5D7A575BF}"/>
    <cellStyle name="Note 2 2 4 4" xfId="9540" xr:uid="{64CE0C3F-11D0-4CDB-84EE-EBBF417A2B8C}"/>
    <cellStyle name="Note 2 2 5" xfId="1421" xr:uid="{00000000-0005-0000-0000-0000DE200000}"/>
    <cellStyle name="Note 2 2 5 2" xfId="3651" xr:uid="{00000000-0005-0000-0000-0000DF200000}"/>
    <cellStyle name="Note 2 2 5 2 2" xfId="7874" xr:uid="{00000000-0005-0000-0000-0000E0200000}"/>
    <cellStyle name="Note 2 2 5 2 2 2" xfId="16316" xr:uid="{0757DE6C-6B67-47C7-804C-555AD34F0878}"/>
    <cellStyle name="Note 2 2 5 2 3" xfId="12098" xr:uid="{F7FF1DAF-F17D-4484-9DA9-D1414EDEEE58}"/>
    <cellStyle name="Note 2 2 5 3" xfId="5729" xr:uid="{00000000-0005-0000-0000-0000E1200000}"/>
    <cellStyle name="Note 2 2 5 3 2" xfId="14171" xr:uid="{418AA99A-971A-4F07-AD3B-3424EAD58A85}"/>
    <cellStyle name="Note 2 2 5 4" xfId="9953" xr:uid="{70160C6C-40E0-4FBB-8DD3-DC70159F21BA}"/>
    <cellStyle name="Note 2 2 6" xfId="1835" xr:uid="{00000000-0005-0000-0000-0000E2200000}"/>
    <cellStyle name="Note 2 2 6 2" xfId="4064" xr:uid="{00000000-0005-0000-0000-0000E3200000}"/>
    <cellStyle name="Note 2 2 6 2 2" xfId="8287" xr:uid="{00000000-0005-0000-0000-0000E4200000}"/>
    <cellStyle name="Note 2 2 6 2 2 2" xfId="16729" xr:uid="{A51CD394-88C8-4EBC-974F-38EF26BCD192}"/>
    <cellStyle name="Note 2 2 6 2 3" xfId="12511" xr:uid="{E7B6A5D2-C866-4784-9BFC-8882E4AD14EA}"/>
    <cellStyle name="Note 2 2 6 3" xfId="6142" xr:uid="{00000000-0005-0000-0000-0000E5200000}"/>
    <cellStyle name="Note 2 2 6 3 2" xfId="14584" xr:uid="{01369296-A21D-4318-8BD6-5F16BAAA113A}"/>
    <cellStyle name="Note 2 2 6 4" xfId="10366" xr:uid="{9ADAE7DC-842F-4B54-BB51-C7F95D2CF97E}"/>
    <cellStyle name="Note 2 2 7" xfId="2248" xr:uid="{00000000-0005-0000-0000-0000E6200000}"/>
    <cellStyle name="Note 2 2 7 2" xfId="4477" xr:uid="{00000000-0005-0000-0000-0000E7200000}"/>
    <cellStyle name="Note 2 2 7 2 2" xfId="8700" xr:uid="{00000000-0005-0000-0000-0000E8200000}"/>
    <cellStyle name="Note 2 2 7 2 2 2" xfId="17142" xr:uid="{807AB031-E66C-4DFD-9B42-59B38A07E077}"/>
    <cellStyle name="Note 2 2 7 2 3" xfId="12924" xr:uid="{CDFF79FF-378D-48DD-984D-9FDE86E6DBED}"/>
    <cellStyle name="Note 2 2 7 3" xfId="6555" xr:uid="{00000000-0005-0000-0000-0000E9200000}"/>
    <cellStyle name="Note 2 2 7 3 2" xfId="14997" xr:uid="{ABD72871-9D63-4EB8-97ED-39BB9F6EB2B4}"/>
    <cellStyle name="Note 2 2 7 4" xfId="10779" xr:uid="{1232F4FC-9F8B-4771-BF8A-47ACD232B2E4}"/>
    <cellStyle name="Note 2 2 8" xfId="2684" xr:uid="{00000000-0005-0000-0000-0000EA200000}"/>
    <cellStyle name="Note 2 2 8 2" xfId="6968" xr:uid="{00000000-0005-0000-0000-0000EB200000}"/>
    <cellStyle name="Note 2 2 8 2 2" xfId="15410" xr:uid="{BB64EB76-70DE-45D0-B743-ADF154736AC1}"/>
    <cellStyle name="Note 2 2 8 3" xfId="11192" xr:uid="{AA73EEBF-8FB9-4CCF-8F00-3117B68DF3C5}"/>
    <cellStyle name="Note 2 2 9" xfId="2743" xr:uid="{00000000-0005-0000-0000-0000EC200000}"/>
    <cellStyle name="Note 2 3" xfId="549" xr:uid="{00000000-0005-0000-0000-0000ED200000}"/>
    <cellStyle name="Note 2 3 10" xfId="4907" xr:uid="{00000000-0005-0000-0000-0000EE200000}"/>
    <cellStyle name="Note 2 3 10 2" xfId="13349" xr:uid="{0D19777B-D6D3-4766-88D6-E2AD03AC2CA1}"/>
    <cellStyle name="Note 2 3 11" xfId="9131" xr:uid="{122BB26F-8DE3-48CC-AAC6-056E8E69153E}"/>
    <cellStyle name="Note 2 3 2" xfId="550" xr:uid="{00000000-0005-0000-0000-0000EF200000}"/>
    <cellStyle name="Note 2 3 2 10" xfId="9132" xr:uid="{17E10EE8-4446-420F-82CD-4C6346A22F51}"/>
    <cellStyle name="Note 2 3 2 2" xfId="1011" xr:uid="{00000000-0005-0000-0000-0000F0200000}"/>
    <cellStyle name="Note 2 3 2 2 2" xfId="3243" xr:uid="{00000000-0005-0000-0000-0000F1200000}"/>
    <cellStyle name="Note 2 3 2 2 2 2" xfId="7466" xr:uid="{00000000-0005-0000-0000-0000F2200000}"/>
    <cellStyle name="Note 2 3 2 2 2 2 2" xfId="15908" xr:uid="{963EF250-7433-49B7-9543-F64A11E4F497}"/>
    <cellStyle name="Note 2 3 2 2 2 3" xfId="11690" xr:uid="{AC570ECC-1FE3-450B-A17E-FB8821F60EA5}"/>
    <cellStyle name="Note 2 3 2 2 3" xfId="5321" xr:uid="{00000000-0005-0000-0000-0000F3200000}"/>
    <cellStyle name="Note 2 3 2 2 3 2" xfId="13763" xr:uid="{F3AA9BCD-72BF-4B64-B46C-20BE575E294E}"/>
    <cellStyle name="Note 2 3 2 2 4" xfId="9545" xr:uid="{0D6099A6-E4CF-487C-B11E-C1A7ED0306E3}"/>
    <cellStyle name="Note 2 3 2 3" xfId="1426" xr:uid="{00000000-0005-0000-0000-0000F4200000}"/>
    <cellStyle name="Note 2 3 2 3 2" xfId="3656" xr:uid="{00000000-0005-0000-0000-0000F5200000}"/>
    <cellStyle name="Note 2 3 2 3 2 2" xfId="7879" xr:uid="{00000000-0005-0000-0000-0000F6200000}"/>
    <cellStyle name="Note 2 3 2 3 2 2 2" xfId="16321" xr:uid="{938E612A-8254-4405-8576-573DB61EB9A0}"/>
    <cellStyle name="Note 2 3 2 3 2 3" xfId="12103" xr:uid="{4BD9850B-29D6-4088-BEA2-AE830383304A}"/>
    <cellStyle name="Note 2 3 2 3 3" xfId="5734" xr:uid="{00000000-0005-0000-0000-0000F7200000}"/>
    <cellStyle name="Note 2 3 2 3 3 2" xfId="14176" xr:uid="{AADCD043-8B99-479A-AEA8-E4E27E471492}"/>
    <cellStyle name="Note 2 3 2 3 4" xfId="9958" xr:uid="{92DF1E0A-7008-4777-8B42-F3FB197176FA}"/>
    <cellStyle name="Note 2 3 2 4" xfId="1840" xr:uid="{00000000-0005-0000-0000-0000F8200000}"/>
    <cellStyle name="Note 2 3 2 4 2" xfId="4069" xr:uid="{00000000-0005-0000-0000-0000F9200000}"/>
    <cellStyle name="Note 2 3 2 4 2 2" xfId="8292" xr:uid="{00000000-0005-0000-0000-0000FA200000}"/>
    <cellStyle name="Note 2 3 2 4 2 2 2" xfId="16734" xr:uid="{CB833E33-124A-4726-877B-CF909363C92C}"/>
    <cellStyle name="Note 2 3 2 4 2 3" xfId="12516" xr:uid="{F5C859AD-6904-49EE-8E7E-A27D3E44C013}"/>
    <cellStyle name="Note 2 3 2 4 3" xfId="6147" xr:uid="{00000000-0005-0000-0000-0000FB200000}"/>
    <cellStyle name="Note 2 3 2 4 3 2" xfId="14589" xr:uid="{6E72E31A-431E-456A-A159-B7713270CED6}"/>
    <cellStyle name="Note 2 3 2 4 4" xfId="10371" xr:uid="{FFA5D186-6F16-4F25-B122-A6EA7047E10B}"/>
    <cellStyle name="Note 2 3 2 5" xfId="2253" xr:uid="{00000000-0005-0000-0000-0000FC200000}"/>
    <cellStyle name="Note 2 3 2 5 2" xfId="4482" xr:uid="{00000000-0005-0000-0000-0000FD200000}"/>
    <cellStyle name="Note 2 3 2 5 2 2" xfId="8705" xr:uid="{00000000-0005-0000-0000-0000FE200000}"/>
    <cellStyle name="Note 2 3 2 5 2 2 2" xfId="17147" xr:uid="{93B8144E-ADCC-406D-A6CD-28069013B19D}"/>
    <cellStyle name="Note 2 3 2 5 2 3" xfId="12929" xr:uid="{B0B3DE30-6244-4A0B-8FCB-0FC2D6CF3940}"/>
    <cellStyle name="Note 2 3 2 5 3" xfId="6560" xr:uid="{00000000-0005-0000-0000-0000FF200000}"/>
    <cellStyle name="Note 2 3 2 5 3 2" xfId="15002" xr:uid="{795B7C67-72C4-40B8-9BEA-EF5CF21409B3}"/>
    <cellStyle name="Note 2 3 2 5 4" xfId="10784" xr:uid="{B38D462F-F2B3-49D6-BED5-CA862AF30120}"/>
    <cellStyle name="Note 2 3 2 6" xfId="2689" xr:uid="{00000000-0005-0000-0000-000000210000}"/>
    <cellStyle name="Note 2 3 2 6 2" xfId="6973" xr:uid="{00000000-0005-0000-0000-000001210000}"/>
    <cellStyle name="Note 2 3 2 6 2 2" xfId="15415" xr:uid="{246F78AC-EAB6-4E4E-9C32-A899E2C8ADB1}"/>
    <cellStyle name="Note 2 3 2 6 3" xfId="11197" xr:uid="{E3F7E63B-8A1D-4385-8663-B55714C5F8BE}"/>
    <cellStyle name="Note 2 3 2 7" xfId="2748" xr:uid="{00000000-0005-0000-0000-000002210000}"/>
    <cellStyle name="Note 2 3 2 8" xfId="2829" xr:uid="{00000000-0005-0000-0000-000003210000}"/>
    <cellStyle name="Note 2 3 2 8 2" xfId="7053" xr:uid="{00000000-0005-0000-0000-000004210000}"/>
    <cellStyle name="Note 2 3 2 8 2 2" xfId="15495" xr:uid="{4390C8D5-B751-41D2-95BF-188A3891EAC8}"/>
    <cellStyle name="Note 2 3 2 8 3" xfId="11277" xr:uid="{6AD91BE6-BC4B-4C2A-AF60-921F6B5AB42C}"/>
    <cellStyle name="Note 2 3 2 9" xfId="4908" xr:uid="{00000000-0005-0000-0000-000005210000}"/>
    <cellStyle name="Note 2 3 2 9 2" xfId="13350" xr:uid="{C4A2BA2F-5BE9-482F-84F7-4CAF4F20420B}"/>
    <cellStyle name="Note 2 3 3" xfId="1010" xr:uid="{00000000-0005-0000-0000-000006210000}"/>
    <cellStyle name="Note 2 3 3 2" xfId="3242" xr:uid="{00000000-0005-0000-0000-000007210000}"/>
    <cellStyle name="Note 2 3 3 2 2" xfId="7465" xr:uid="{00000000-0005-0000-0000-000008210000}"/>
    <cellStyle name="Note 2 3 3 2 2 2" xfId="15907" xr:uid="{55101546-448E-43FD-9070-D8E9C5BE8B36}"/>
    <cellStyle name="Note 2 3 3 2 3" xfId="11689" xr:uid="{E8736D86-CC6F-4837-BB78-5ACCF424EB37}"/>
    <cellStyle name="Note 2 3 3 3" xfId="5320" xr:uid="{00000000-0005-0000-0000-000009210000}"/>
    <cellStyle name="Note 2 3 3 3 2" xfId="13762" xr:uid="{B55271F4-3DD5-4F51-A33D-110EF5F61B35}"/>
    <cellStyle name="Note 2 3 3 4" xfId="9544" xr:uid="{517CD75C-8CC9-4C79-9FE2-002896A686DB}"/>
    <cellStyle name="Note 2 3 4" xfId="1425" xr:uid="{00000000-0005-0000-0000-00000A210000}"/>
    <cellStyle name="Note 2 3 4 2" xfId="3655" xr:uid="{00000000-0005-0000-0000-00000B210000}"/>
    <cellStyle name="Note 2 3 4 2 2" xfId="7878" xr:uid="{00000000-0005-0000-0000-00000C210000}"/>
    <cellStyle name="Note 2 3 4 2 2 2" xfId="16320" xr:uid="{C510F3F6-67CA-4945-B6C7-E9E4E786A706}"/>
    <cellStyle name="Note 2 3 4 2 3" xfId="12102" xr:uid="{C8BFF5E1-D88F-4B29-8F07-B394981088C8}"/>
    <cellStyle name="Note 2 3 4 3" xfId="5733" xr:uid="{00000000-0005-0000-0000-00000D210000}"/>
    <cellStyle name="Note 2 3 4 3 2" xfId="14175" xr:uid="{DB246EE8-C3D1-4205-8B08-EFDF4998FC28}"/>
    <cellStyle name="Note 2 3 4 4" xfId="9957" xr:uid="{2868247F-785F-4A11-99AA-384FC9877274}"/>
    <cellStyle name="Note 2 3 5" xfId="1839" xr:uid="{00000000-0005-0000-0000-00000E210000}"/>
    <cellStyle name="Note 2 3 5 2" xfId="4068" xr:uid="{00000000-0005-0000-0000-00000F210000}"/>
    <cellStyle name="Note 2 3 5 2 2" xfId="8291" xr:uid="{00000000-0005-0000-0000-000010210000}"/>
    <cellStyle name="Note 2 3 5 2 2 2" xfId="16733" xr:uid="{FF57E739-953F-466D-BB90-D19D19674990}"/>
    <cellStyle name="Note 2 3 5 2 3" xfId="12515" xr:uid="{3349A6B3-9508-4AFA-A18D-2FE9F7F182CA}"/>
    <cellStyle name="Note 2 3 5 3" xfId="6146" xr:uid="{00000000-0005-0000-0000-000011210000}"/>
    <cellStyle name="Note 2 3 5 3 2" xfId="14588" xr:uid="{4374F73E-AFA5-423B-BC6B-4CBCA793DF1B}"/>
    <cellStyle name="Note 2 3 5 4" xfId="10370" xr:uid="{9AD73F9B-4137-4522-AAB4-914079FF13D2}"/>
    <cellStyle name="Note 2 3 6" xfId="2252" xr:uid="{00000000-0005-0000-0000-000012210000}"/>
    <cellStyle name="Note 2 3 6 2" xfId="4481" xr:uid="{00000000-0005-0000-0000-000013210000}"/>
    <cellStyle name="Note 2 3 6 2 2" xfId="8704" xr:uid="{00000000-0005-0000-0000-000014210000}"/>
    <cellStyle name="Note 2 3 6 2 2 2" xfId="17146" xr:uid="{B4E07247-AD16-43EC-8011-B378DDE65FEA}"/>
    <cellStyle name="Note 2 3 6 2 3" xfId="12928" xr:uid="{89620A97-EA25-4411-BA24-F551A52E8E53}"/>
    <cellStyle name="Note 2 3 6 3" xfId="6559" xr:uid="{00000000-0005-0000-0000-000015210000}"/>
    <cellStyle name="Note 2 3 6 3 2" xfId="15001" xr:uid="{E2DCE384-B3CF-4479-902D-8D9973B69A72}"/>
    <cellStyle name="Note 2 3 6 4" xfId="10783" xr:uid="{FB125090-4CAD-4C97-A329-F9CB4277F69F}"/>
    <cellStyle name="Note 2 3 7" xfId="2688" xr:uid="{00000000-0005-0000-0000-000016210000}"/>
    <cellStyle name="Note 2 3 7 2" xfId="6972" xr:uid="{00000000-0005-0000-0000-000017210000}"/>
    <cellStyle name="Note 2 3 7 2 2" xfId="15414" xr:uid="{9F715182-2496-4A2E-8E4F-93C4AC2360C6}"/>
    <cellStyle name="Note 2 3 7 3" xfId="11196" xr:uid="{248288B7-5240-43F8-8B3F-2CAD44233ABE}"/>
    <cellStyle name="Note 2 3 8" xfId="2747" xr:uid="{00000000-0005-0000-0000-000018210000}"/>
    <cellStyle name="Note 2 3 9" xfId="2828" xr:uid="{00000000-0005-0000-0000-000019210000}"/>
    <cellStyle name="Note 2 3 9 2" xfId="7052" xr:uid="{00000000-0005-0000-0000-00001A210000}"/>
    <cellStyle name="Note 2 3 9 2 2" xfId="15494" xr:uid="{AFA5BEAB-0864-4530-9350-28D7DD1EA43B}"/>
    <cellStyle name="Note 2 3 9 3" xfId="11276" xr:uid="{6B98C7E0-6C6A-4D86-9B5B-B40A7DFDAD7C}"/>
    <cellStyle name="Note 2 4" xfId="551" xr:uid="{00000000-0005-0000-0000-00001B210000}"/>
    <cellStyle name="Note 2 4 10" xfId="9133" xr:uid="{27C8E0B3-3352-4DC6-B528-73A6A4A45842}"/>
    <cellStyle name="Note 2 4 2" xfId="1012" xr:uid="{00000000-0005-0000-0000-00001C210000}"/>
    <cellStyle name="Note 2 4 2 2" xfId="3244" xr:uid="{00000000-0005-0000-0000-00001D210000}"/>
    <cellStyle name="Note 2 4 2 2 2" xfId="7467" xr:uid="{00000000-0005-0000-0000-00001E210000}"/>
    <cellStyle name="Note 2 4 2 2 2 2" xfId="15909" xr:uid="{A5AECDD2-90AC-4776-A2C9-6BC03923953D}"/>
    <cellStyle name="Note 2 4 2 2 3" xfId="11691" xr:uid="{510D4FA9-452F-40D9-9FB9-83FB0EDE5E24}"/>
    <cellStyle name="Note 2 4 2 3" xfId="5322" xr:uid="{00000000-0005-0000-0000-00001F210000}"/>
    <cellStyle name="Note 2 4 2 3 2" xfId="13764" xr:uid="{8850F151-E8CB-4400-9D8E-27908E8B8207}"/>
    <cellStyle name="Note 2 4 2 4" xfId="9546" xr:uid="{6F002767-17BE-47F4-8376-AF847DEB2871}"/>
    <cellStyle name="Note 2 4 3" xfId="1427" xr:uid="{00000000-0005-0000-0000-000020210000}"/>
    <cellStyle name="Note 2 4 3 2" xfId="3657" xr:uid="{00000000-0005-0000-0000-000021210000}"/>
    <cellStyle name="Note 2 4 3 2 2" xfId="7880" xr:uid="{00000000-0005-0000-0000-000022210000}"/>
    <cellStyle name="Note 2 4 3 2 2 2" xfId="16322" xr:uid="{022CF89A-C1D6-4500-85FE-AF3F2ECBB9A9}"/>
    <cellStyle name="Note 2 4 3 2 3" xfId="12104" xr:uid="{A3565323-B373-43F2-BD29-00A0369F8667}"/>
    <cellStyle name="Note 2 4 3 3" xfId="5735" xr:uid="{00000000-0005-0000-0000-000023210000}"/>
    <cellStyle name="Note 2 4 3 3 2" xfId="14177" xr:uid="{1351B0A3-946E-439E-947C-725F0026ED67}"/>
    <cellStyle name="Note 2 4 3 4" xfId="9959" xr:uid="{F0C0D881-A683-48FE-9E30-651D5855B0B6}"/>
    <cellStyle name="Note 2 4 4" xfId="1841" xr:uid="{00000000-0005-0000-0000-000024210000}"/>
    <cellStyle name="Note 2 4 4 2" xfId="4070" xr:uid="{00000000-0005-0000-0000-000025210000}"/>
    <cellStyle name="Note 2 4 4 2 2" xfId="8293" xr:uid="{00000000-0005-0000-0000-000026210000}"/>
    <cellStyle name="Note 2 4 4 2 2 2" xfId="16735" xr:uid="{D45E5D2D-9BBA-46D3-8FFE-94BDDA8B5DC7}"/>
    <cellStyle name="Note 2 4 4 2 3" xfId="12517" xr:uid="{0E9A14B9-FBF7-4095-B4DE-FB89891CA0DD}"/>
    <cellStyle name="Note 2 4 4 3" xfId="6148" xr:uid="{00000000-0005-0000-0000-000027210000}"/>
    <cellStyle name="Note 2 4 4 3 2" xfId="14590" xr:uid="{9E71B098-D55F-4B0D-B40F-C0DB5EC7BE5A}"/>
    <cellStyle name="Note 2 4 4 4" xfId="10372" xr:uid="{976DE442-8580-46A2-BD48-21E725BF3DA5}"/>
    <cellStyle name="Note 2 4 5" xfId="2254" xr:uid="{00000000-0005-0000-0000-000028210000}"/>
    <cellStyle name="Note 2 4 5 2" xfId="4483" xr:uid="{00000000-0005-0000-0000-000029210000}"/>
    <cellStyle name="Note 2 4 5 2 2" xfId="8706" xr:uid="{00000000-0005-0000-0000-00002A210000}"/>
    <cellStyle name="Note 2 4 5 2 2 2" xfId="17148" xr:uid="{FC651934-843B-4AE3-99FA-5AE109E75B95}"/>
    <cellStyle name="Note 2 4 5 2 3" xfId="12930" xr:uid="{D875E685-1FF7-46DE-B960-4CE5EC5239E5}"/>
    <cellStyle name="Note 2 4 5 3" xfId="6561" xr:uid="{00000000-0005-0000-0000-00002B210000}"/>
    <cellStyle name="Note 2 4 5 3 2" xfId="15003" xr:uid="{831E814B-301D-4167-B09D-7122E5EF0391}"/>
    <cellStyle name="Note 2 4 5 4" xfId="10785" xr:uid="{E8F1175B-AA69-4471-93E7-9EA2BCA5530D}"/>
    <cellStyle name="Note 2 4 6" xfId="2690" xr:uid="{00000000-0005-0000-0000-00002C210000}"/>
    <cellStyle name="Note 2 4 6 2" xfId="6974" xr:uid="{00000000-0005-0000-0000-00002D210000}"/>
    <cellStyle name="Note 2 4 6 2 2" xfId="15416" xr:uid="{088D8599-BD2E-432A-8000-A0C13BBF8E61}"/>
    <cellStyle name="Note 2 4 6 3" xfId="11198" xr:uid="{73688011-8EED-4354-B36C-33E6EC8EB3C9}"/>
    <cellStyle name="Note 2 4 7" xfId="2749" xr:uid="{00000000-0005-0000-0000-00002E210000}"/>
    <cellStyle name="Note 2 4 8" xfId="2830" xr:uid="{00000000-0005-0000-0000-00002F210000}"/>
    <cellStyle name="Note 2 4 8 2" xfId="7054" xr:uid="{00000000-0005-0000-0000-000030210000}"/>
    <cellStyle name="Note 2 4 8 2 2" xfId="15496" xr:uid="{8C6413A6-4230-409E-91B8-8C2109E96A6D}"/>
    <cellStyle name="Note 2 4 8 3" xfId="11278" xr:uid="{8410CAF2-AEB5-4E37-A138-11C418508131}"/>
    <cellStyle name="Note 2 4 9" xfId="4909" xr:uid="{00000000-0005-0000-0000-000031210000}"/>
    <cellStyle name="Note 2 4 9 2" xfId="13351" xr:uid="{1B69AEA9-ED44-4AE3-9131-5531BFCBB890}"/>
    <cellStyle name="Note 2 5" xfId="552" xr:uid="{00000000-0005-0000-0000-000032210000}"/>
    <cellStyle name="Note 2 5 10" xfId="9134" xr:uid="{0D05D007-BFF2-4F52-977C-2DC24189832B}"/>
    <cellStyle name="Note 2 5 2" xfId="1013" xr:uid="{00000000-0005-0000-0000-000033210000}"/>
    <cellStyle name="Note 2 5 2 2" xfId="3245" xr:uid="{00000000-0005-0000-0000-000034210000}"/>
    <cellStyle name="Note 2 5 2 2 2" xfId="7468" xr:uid="{00000000-0005-0000-0000-000035210000}"/>
    <cellStyle name="Note 2 5 2 2 2 2" xfId="15910" xr:uid="{A7D2CE3D-95F9-41DC-A01B-1E44F434077B}"/>
    <cellStyle name="Note 2 5 2 2 3" xfId="11692" xr:uid="{DD4E12CC-15C9-4EFA-BCF3-5DD1FF3B8FDD}"/>
    <cellStyle name="Note 2 5 2 3" xfId="5323" xr:uid="{00000000-0005-0000-0000-000036210000}"/>
    <cellStyle name="Note 2 5 2 3 2" xfId="13765" xr:uid="{100C9B84-C925-4EC7-9CE6-0B3503F5A0B8}"/>
    <cellStyle name="Note 2 5 2 4" xfId="9547" xr:uid="{C4A3BF22-46F5-4CAE-83DE-EC724C4D53A6}"/>
    <cellStyle name="Note 2 5 3" xfId="1428" xr:uid="{00000000-0005-0000-0000-000037210000}"/>
    <cellStyle name="Note 2 5 3 2" xfId="3658" xr:uid="{00000000-0005-0000-0000-000038210000}"/>
    <cellStyle name="Note 2 5 3 2 2" xfId="7881" xr:uid="{00000000-0005-0000-0000-000039210000}"/>
    <cellStyle name="Note 2 5 3 2 2 2" xfId="16323" xr:uid="{1042D403-CB4C-4A30-B064-0494CA6A621C}"/>
    <cellStyle name="Note 2 5 3 2 3" xfId="12105" xr:uid="{A675E28A-A93B-4052-A9C1-E55911D2B643}"/>
    <cellStyle name="Note 2 5 3 3" xfId="5736" xr:uid="{00000000-0005-0000-0000-00003A210000}"/>
    <cellStyle name="Note 2 5 3 3 2" xfId="14178" xr:uid="{71024B1E-8343-4336-BFBC-B09FAC362BD8}"/>
    <cellStyle name="Note 2 5 3 4" xfId="9960" xr:uid="{CCFCBB2F-CC17-4C99-8A95-E366677E25BF}"/>
    <cellStyle name="Note 2 5 4" xfId="1842" xr:uid="{00000000-0005-0000-0000-00003B210000}"/>
    <cellStyle name="Note 2 5 4 2" xfId="4071" xr:uid="{00000000-0005-0000-0000-00003C210000}"/>
    <cellStyle name="Note 2 5 4 2 2" xfId="8294" xr:uid="{00000000-0005-0000-0000-00003D210000}"/>
    <cellStyle name="Note 2 5 4 2 2 2" xfId="16736" xr:uid="{681DD374-CD6F-4431-980D-DDD1B70FDE77}"/>
    <cellStyle name="Note 2 5 4 2 3" xfId="12518" xr:uid="{9A79C615-4F5F-455F-941A-32030A154E32}"/>
    <cellStyle name="Note 2 5 4 3" xfId="6149" xr:uid="{00000000-0005-0000-0000-00003E210000}"/>
    <cellStyle name="Note 2 5 4 3 2" xfId="14591" xr:uid="{7E582614-16C6-4DE0-942D-FE3100DDD576}"/>
    <cellStyle name="Note 2 5 4 4" xfId="10373" xr:uid="{656C8EC6-2788-4FDD-BBC6-6AE0AAF870F2}"/>
    <cellStyle name="Note 2 5 5" xfId="2255" xr:uid="{00000000-0005-0000-0000-00003F210000}"/>
    <cellStyle name="Note 2 5 5 2" xfId="4484" xr:uid="{00000000-0005-0000-0000-000040210000}"/>
    <cellStyle name="Note 2 5 5 2 2" xfId="8707" xr:uid="{00000000-0005-0000-0000-000041210000}"/>
    <cellStyle name="Note 2 5 5 2 2 2" xfId="17149" xr:uid="{DD6311BC-9FD0-4B58-B16B-7DBC527C3381}"/>
    <cellStyle name="Note 2 5 5 2 3" xfId="12931" xr:uid="{9541E75A-F266-4359-ACC1-82973E0526E6}"/>
    <cellStyle name="Note 2 5 5 3" xfId="6562" xr:uid="{00000000-0005-0000-0000-000042210000}"/>
    <cellStyle name="Note 2 5 5 3 2" xfId="15004" xr:uid="{B434ABB3-93BB-4F5E-B470-AEC12DF9B8E4}"/>
    <cellStyle name="Note 2 5 5 4" xfId="10786" xr:uid="{5131373A-422B-4609-8BB1-9974D9C1811A}"/>
    <cellStyle name="Note 2 5 6" xfId="2691" xr:uid="{00000000-0005-0000-0000-000043210000}"/>
    <cellStyle name="Note 2 5 6 2" xfId="6975" xr:uid="{00000000-0005-0000-0000-000044210000}"/>
    <cellStyle name="Note 2 5 6 2 2" xfId="15417" xr:uid="{136CFE60-912F-433A-9546-D048E63F833B}"/>
    <cellStyle name="Note 2 5 6 3" xfId="11199" xr:uid="{D17F65F6-89CC-4363-B84D-129B97B71CD0}"/>
    <cellStyle name="Note 2 5 7" xfId="2750" xr:uid="{00000000-0005-0000-0000-000045210000}"/>
    <cellStyle name="Note 2 5 8" xfId="2831" xr:uid="{00000000-0005-0000-0000-000046210000}"/>
    <cellStyle name="Note 2 5 8 2" xfId="7055" xr:uid="{00000000-0005-0000-0000-000047210000}"/>
    <cellStyle name="Note 2 5 8 2 2" xfId="15497" xr:uid="{D8AD25FF-DE94-4FCE-BECD-695BA193E49E}"/>
    <cellStyle name="Note 2 5 8 3" xfId="11279" xr:uid="{EF263ABD-725B-4D90-9285-145A0132DB4D}"/>
    <cellStyle name="Note 2 5 9" xfId="4910" xr:uid="{00000000-0005-0000-0000-000048210000}"/>
    <cellStyle name="Note 2 5 9 2" xfId="13352" xr:uid="{54D822A5-22D6-4128-809F-5B9A349CA49F}"/>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BF8D8683-F93C-47AF-A064-4432C28E3EE5}"/>
    <cellStyle name="Note 3 2 10 3" xfId="11280" xr:uid="{82FB92DD-2E5F-4DF0-81D2-8349359CFD1D}"/>
    <cellStyle name="Note 3 2 11" xfId="4911" xr:uid="{00000000-0005-0000-0000-00004D210000}"/>
    <cellStyle name="Note 3 2 11 2" xfId="13353" xr:uid="{68EF6B27-221E-4622-9604-72AACA4FB3CC}"/>
    <cellStyle name="Note 3 2 12" xfId="9135" xr:uid="{C5DF614A-D2AB-4F32-ACF0-73CC6FF91F9E}"/>
    <cellStyle name="Note 3 2 2" xfId="555" xr:uid="{00000000-0005-0000-0000-00004E210000}"/>
    <cellStyle name="Note 3 2 2 10" xfId="4912" xr:uid="{00000000-0005-0000-0000-00004F210000}"/>
    <cellStyle name="Note 3 2 2 10 2" xfId="13354" xr:uid="{E7A5A7AB-E2D2-4691-8443-424DF4B0D391}"/>
    <cellStyle name="Note 3 2 2 11" xfId="9136" xr:uid="{15B2A1E3-EAA5-4DE7-A4C5-804F75F8BEED}"/>
    <cellStyle name="Note 3 2 2 2" xfId="556" xr:uid="{00000000-0005-0000-0000-000050210000}"/>
    <cellStyle name="Note 3 2 2 2 10" xfId="9137" xr:uid="{BF9AD6B1-4C7B-4634-9569-8E0CDCBA3A0E}"/>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FC11B9BB-C0E4-4382-B98F-612216440D80}"/>
    <cellStyle name="Note 3 2 2 2 2 2 3" xfId="11695" xr:uid="{9EDC4BA5-3271-480C-9AEB-D712ECAB9FE4}"/>
    <cellStyle name="Note 3 2 2 2 2 3" xfId="5326" xr:uid="{00000000-0005-0000-0000-000054210000}"/>
    <cellStyle name="Note 3 2 2 2 2 3 2" xfId="13768" xr:uid="{E856D1CA-F4A7-4ADE-9200-0EE6C2758D5B}"/>
    <cellStyle name="Note 3 2 2 2 2 4" xfId="9550" xr:uid="{EA390D88-9C2D-4507-85ED-9916AD3E1E4E}"/>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15C90B48-FC7A-4A7F-B150-9139DF9F0BB7}"/>
    <cellStyle name="Note 3 2 2 2 3 2 3" xfId="12108" xr:uid="{7AC57EED-B9B4-4C28-95CE-62BD73251488}"/>
    <cellStyle name="Note 3 2 2 2 3 3" xfId="5739" xr:uid="{00000000-0005-0000-0000-000058210000}"/>
    <cellStyle name="Note 3 2 2 2 3 3 2" xfId="14181" xr:uid="{39782776-8FA1-49CE-9869-33AD586809F5}"/>
    <cellStyle name="Note 3 2 2 2 3 4" xfId="9963" xr:uid="{00198409-322B-40EC-B623-F506B7974867}"/>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34C48E0C-7BAF-40BA-902B-E7650212F3AE}"/>
    <cellStyle name="Note 3 2 2 2 4 2 3" xfId="12521" xr:uid="{F734892A-F6E0-4326-AFE5-F9F4D93F3DDE}"/>
    <cellStyle name="Note 3 2 2 2 4 3" xfId="6152" xr:uid="{00000000-0005-0000-0000-00005C210000}"/>
    <cellStyle name="Note 3 2 2 2 4 3 2" xfId="14594" xr:uid="{41B3F76C-8D12-432F-810F-88342EA6FA4A}"/>
    <cellStyle name="Note 3 2 2 2 4 4" xfId="10376" xr:uid="{4E2BA5FC-5376-42B8-ADF0-F705D307AB1F}"/>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DBB8F06F-6089-49F0-8F34-9B8D41F61D24}"/>
    <cellStyle name="Note 3 2 2 2 5 2 3" xfId="12934" xr:uid="{C84B6EA3-E7AB-4671-B522-D6B05C502DA2}"/>
    <cellStyle name="Note 3 2 2 2 5 3" xfId="6565" xr:uid="{00000000-0005-0000-0000-000060210000}"/>
    <cellStyle name="Note 3 2 2 2 5 3 2" xfId="15007" xr:uid="{1E47CE70-3F73-4E43-BAA4-19152BA0D2A6}"/>
    <cellStyle name="Note 3 2 2 2 5 4" xfId="10789" xr:uid="{02284C22-E93C-4D43-87B6-8B785DFE1831}"/>
    <cellStyle name="Note 3 2 2 2 6" xfId="2694" xr:uid="{00000000-0005-0000-0000-000061210000}"/>
    <cellStyle name="Note 3 2 2 2 6 2" xfId="6978" xr:uid="{00000000-0005-0000-0000-000062210000}"/>
    <cellStyle name="Note 3 2 2 2 6 2 2" xfId="15420" xr:uid="{028CD564-8E36-4F37-A4D2-288C46D2E7CA}"/>
    <cellStyle name="Note 3 2 2 2 6 3" xfId="11202" xr:uid="{EED6968F-C260-4429-BA1B-957D395146D1}"/>
    <cellStyle name="Note 3 2 2 2 7" xfId="2753" xr:uid="{00000000-0005-0000-0000-000063210000}"/>
    <cellStyle name="Note 3 2 2 2 8" xfId="2834" xr:uid="{00000000-0005-0000-0000-000064210000}"/>
    <cellStyle name="Note 3 2 2 2 8 2" xfId="7058" xr:uid="{00000000-0005-0000-0000-000065210000}"/>
    <cellStyle name="Note 3 2 2 2 8 2 2" xfId="15500" xr:uid="{D7203E83-BE08-4B8C-8605-D414B4CB6602}"/>
    <cellStyle name="Note 3 2 2 2 8 3" xfId="11282" xr:uid="{917E1097-2779-4C03-A1F2-AA677E30EDFC}"/>
    <cellStyle name="Note 3 2 2 2 9" xfId="4913" xr:uid="{00000000-0005-0000-0000-000066210000}"/>
    <cellStyle name="Note 3 2 2 2 9 2" xfId="13355" xr:uid="{1EE7A6F7-CA2E-4595-9337-76B679414591}"/>
    <cellStyle name="Note 3 2 2 3" xfId="1015" xr:uid="{00000000-0005-0000-0000-000067210000}"/>
    <cellStyle name="Note 3 2 2 3 2" xfId="3247" xr:uid="{00000000-0005-0000-0000-000068210000}"/>
    <cellStyle name="Note 3 2 2 3 2 2" xfId="7470" xr:uid="{00000000-0005-0000-0000-000069210000}"/>
    <cellStyle name="Note 3 2 2 3 2 2 2" xfId="15912" xr:uid="{5A754C59-66B6-4DF8-8E07-0DA7B2380EE4}"/>
    <cellStyle name="Note 3 2 2 3 2 3" xfId="11694" xr:uid="{697B4CC6-2ECB-4523-85D9-0EFA253A9AB6}"/>
    <cellStyle name="Note 3 2 2 3 3" xfId="5325" xr:uid="{00000000-0005-0000-0000-00006A210000}"/>
    <cellStyle name="Note 3 2 2 3 3 2" xfId="13767" xr:uid="{7DB091A1-7CE5-45D9-BE10-B2F87E18A1DC}"/>
    <cellStyle name="Note 3 2 2 3 4" xfId="9549" xr:uid="{6F85355A-B5A9-4E72-BC16-1186A4B524C7}"/>
    <cellStyle name="Note 3 2 2 4" xfId="1430" xr:uid="{00000000-0005-0000-0000-00006B210000}"/>
    <cellStyle name="Note 3 2 2 4 2" xfId="3660" xr:uid="{00000000-0005-0000-0000-00006C210000}"/>
    <cellStyle name="Note 3 2 2 4 2 2" xfId="7883" xr:uid="{00000000-0005-0000-0000-00006D210000}"/>
    <cellStyle name="Note 3 2 2 4 2 2 2" xfId="16325" xr:uid="{F2A57CE4-A48B-4CBC-9748-3926CF17A696}"/>
    <cellStyle name="Note 3 2 2 4 2 3" xfId="12107" xr:uid="{1D77138F-C427-4670-885C-E9022A7B47C0}"/>
    <cellStyle name="Note 3 2 2 4 3" xfId="5738" xr:uid="{00000000-0005-0000-0000-00006E210000}"/>
    <cellStyle name="Note 3 2 2 4 3 2" xfId="14180" xr:uid="{070BEA00-7485-44A4-8F38-A780358B476E}"/>
    <cellStyle name="Note 3 2 2 4 4" xfId="9962" xr:uid="{6C13DD82-A09C-4730-AD85-B2DA2B37DC5D}"/>
    <cellStyle name="Note 3 2 2 5" xfId="1844" xr:uid="{00000000-0005-0000-0000-00006F210000}"/>
    <cellStyle name="Note 3 2 2 5 2" xfId="4073" xr:uid="{00000000-0005-0000-0000-000070210000}"/>
    <cellStyle name="Note 3 2 2 5 2 2" xfId="8296" xr:uid="{00000000-0005-0000-0000-000071210000}"/>
    <cellStyle name="Note 3 2 2 5 2 2 2" xfId="16738" xr:uid="{F1D0A35E-C56D-452A-A7C5-F18F0B26F084}"/>
    <cellStyle name="Note 3 2 2 5 2 3" xfId="12520" xr:uid="{58C67328-23AF-44CF-804C-F2519A1DE40A}"/>
    <cellStyle name="Note 3 2 2 5 3" xfId="6151" xr:uid="{00000000-0005-0000-0000-000072210000}"/>
    <cellStyle name="Note 3 2 2 5 3 2" xfId="14593" xr:uid="{F3F689BE-782A-4674-8BFA-8FBFD94C0FB4}"/>
    <cellStyle name="Note 3 2 2 5 4" xfId="10375" xr:uid="{74FA9E40-2E65-403F-89F8-2E3BAC45111D}"/>
    <cellStyle name="Note 3 2 2 6" xfId="2257" xr:uid="{00000000-0005-0000-0000-000073210000}"/>
    <cellStyle name="Note 3 2 2 6 2" xfId="4486" xr:uid="{00000000-0005-0000-0000-000074210000}"/>
    <cellStyle name="Note 3 2 2 6 2 2" xfId="8709" xr:uid="{00000000-0005-0000-0000-000075210000}"/>
    <cellStyle name="Note 3 2 2 6 2 2 2" xfId="17151" xr:uid="{C21FC082-A3F4-4A2F-92FD-058121B9D9DF}"/>
    <cellStyle name="Note 3 2 2 6 2 3" xfId="12933" xr:uid="{D803B130-10EF-4D4A-8596-CCC468653312}"/>
    <cellStyle name="Note 3 2 2 6 3" xfId="6564" xr:uid="{00000000-0005-0000-0000-000076210000}"/>
    <cellStyle name="Note 3 2 2 6 3 2" xfId="15006" xr:uid="{B1596509-A932-4C38-AA37-677F384CB1C4}"/>
    <cellStyle name="Note 3 2 2 6 4" xfId="10788" xr:uid="{45BB590F-1CA6-40B4-BA5E-242BDF9C5269}"/>
    <cellStyle name="Note 3 2 2 7" xfId="2693" xr:uid="{00000000-0005-0000-0000-000077210000}"/>
    <cellStyle name="Note 3 2 2 7 2" xfId="6977" xr:uid="{00000000-0005-0000-0000-000078210000}"/>
    <cellStyle name="Note 3 2 2 7 2 2" xfId="15419" xr:uid="{924F8633-BE9E-4AC6-95D0-8E9B0A28B88E}"/>
    <cellStyle name="Note 3 2 2 7 3" xfId="11201" xr:uid="{2375BE46-B070-489F-A2A2-AEEF3EA9FE77}"/>
    <cellStyle name="Note 3 2 2 8" xfId="2752" xr:uid="{00000000-0005-0000-0000-000079210000}"/>
    <cellStyle name="Note 3 2 2 9" xfId="2833" xr:uid="{00000000-0005-0000-0000-00007A210000}"/>
    <cellStyle name="Note 3 2 2 9 2" xfId="7057" xr:uid="{00000000-0005-0000-0000-00007B210000}"/>
    <cellStyle name="Note 3 2 2 9 2 2" xfId="15499" xr:uid="{17E4392B-32A7-4AC6-97E7-C39269C333B9}"/>
    <cellStyle name="Note 3 2 2 9 3" xfId="11281" xr:uid="{06E5D4E9-DAF8-4926-939C-79A517A839AF}"/>
    <cellStyle name="Note 3 2 3" xfId="557" xr:uid="{00000000-0005-0000-0000-00007C210000}"/>
    <cellStyle name="Note 3 2 3 10" xfId="9138" xr:uid="{93F2C21C-89C8-4013-80BD-D77346DC0479}"/>
    <cellStyle name="Note 3 2 3 2" xfId="1017" xr:uid="{00000000-0005-0000-0000-00007D210000}"/>
    <cellStyle name="Note 3 2 3 2 2" xfId="3249" xr:uid="{00000000-0005-0000-0000-00007E210000}"/>
    <cellStyle name="Note 3 2 3 2 2 2" xfId="7472" xr:uid="{00000000-0005-0000-0000-00007F210000}"/>
    <cellStyle name="Note 3 2 3 2 2 2 2" xfId="15914" xr:uid="{78168700-DFF9-4AA1-AA12-664620E7059D}"/>
    <cellStyle name="Note 3 2 3 2 2 3" xfId="11696" xr:uid="{00592EF4-1F29-4B01-8C73-3AB1FAB8E594}"/>
    <cellStyle name="Note 3 2 3 2 3" xfId="5327" xr:uid="{00000000-0005-0000-0000-000080210000}"/>
    <cellStyle name="Note 3 2 3 2 3 2" xfId="13769" xr:uid="{449789EF-0F6D-42A2-853D-A807B2D0D96E}"/>
    <cellStyle name="Note 3 2 3 2 4" xfId="9551" xr:uid="{98542723-37ED-446F-A8E9-21B9406B104B}"/>
    <cellStyle name="Note 3 2 3 3" xfId="1432" xr:uid="{00000000-0005-0000-0000-000081210000}"/>
    <cellStyle name="Note 3 2 3 3 2" xfId="3662" xr:uid="{00000000-0005-0000-0000-000082210000}"/>
    <cellStyle name="Note 3 2 3 3 2 2" xfId="7885" xr:uid="{00000000-0005-0000-0000-000083210000}"/>
    <cellStyle name="Note 3 2 3 3 2 2 2" xfId="16327" xr:uid="{58C26E40-3764-4B85-A52D-F87DE387BA21}"/>
    <cellStyle name="Note 3 2 3 3 2 3" xfId="12109" xr:uid="{867FCF37-36CA-422F-8169-A222620345E9}"/>
    <cellStyle name="Note 3 2 3 3 3" xfId="5740" xr:uid="{00000000-0005-0000-0000-000084210000}"/>
    <cellStyle name="Note 3 2 3 3 3 2" xfId="14182" xr:uid="{3A83B990-7651-45FB-B7A4-938B95C4BE88}"/>
    <cellStyle name="Note 3 2 3 3 4" xfId="9964" xr:uid="{931C5260-004F-4188-9353-1FD5D8AA0F05}"/>
    <cellStyle name="Note 3 2 3 4" xfId="1846" xr:uid="{00000000-0005-0000-0000-000085210000}"/>
    <cellStyle name="Note 3 2 3 4 2" xfId="4075" xr:uid="{00000000-0005-0000-0000-000086210000}"/>
    <cellStyle name="Note 3 2 3 4 2 2" xfId="8298" xr:uid="{00000000-0005-0000-0000-000087210000}"/>
    <cellStyle name="Note 3 2 3 4 2 2 2" xfId="16740" xr:uid="{4F79767B-C31F-4535-A7A1-759C783731FF}"/>
    <cellStyle name="Note 3 2 3 4 2 3" xfId="12522" xr:uid="{5779F0D5-0F07-4B50-B269-CE1E1C7A7912}"/>
    <cellStyle name="Note 3 2 3 4 3" xfId="6153" xr:uid="{00000000-0005-0000-0000-000088210000}"/>
    <cellStyle name="Note 3 2 3 4 3 2" xfId="14595" xr:uid="{5C873B6F-48BE-4F45-8161-46BEEB2F0DD9}"/>
    <cellStyle name="Note 3 2 3 4 4" xfId="10377" xr:uid="{84260F17-D67E-42D7-9BF6-EBF9440C30DB}"/>
    <cellStyle name="Note 3 2 3 5" xfId="2259" xr:uid="{00000000-0005-0000-0000-000089210000}"/>
    <cellStyle name="Note 3 2 3 5 2" xfId="4488" xr:uid="{00000000-0005-0000-0000-00008A210000}"/>
    <cellStyle name="Note 3 2 3 5 2 2" xfId="8711" xr:uid="{00000000-0005-0000-0000-00008B210000}"/>
    <cellStyle name="Note 3 2 3 5 2 2 2" xfId="17153" xr:uid="{6C5632D9-71DB-4AD9-A905-8B1976684137}"/>
    <cellStyle name="Note 3 2 3 5 2 3" xfId="12935" xr:uid="{F957AAEA-20DE-4B6C-809C-3297EDD7453F}"/>
    <cellStyle name="Note 3 2 3 5 3" xfId="6566" xr:uid="{00000000-0005-0000-0000-00008C210000}"/>
    <cellStyle name="Note 3 2 3 5 3 2" xfId="15008" xr:uid="{4EFC122B-F68C-4BE7-8A8E-30C5C98D46B3}"/>
    <cellStyle name="Note 3 2 3 5 4" xfId="10790" xr:uid="{97EA9304-C6C1-4060-9023-50600C7A8C62}"/>
    <cellStyle name="Note 3 2 3 6" xfId="2695" xr:uid="{00000000-0005-0000-0000-00008D210000}"/>
    <cellStyle name="Note 3 2 3 6 2" xfId="6979" xr:uid="{00000000-0005-0000-0000-00008E210000}"/>
    <cellStyle name="Note 3 2 3 6 2 2" xfId="15421" xr:uid="{809C0270-B643-432D-AE87-8F05283F8F17}"/>
    <cellStyle name="Note 3 2 3 6 3" xfId="11203" xr:uid="{C0A16513-6545-4A4F-B580-A5FB08B4939C}"/>
    <cellStyle name="Note 3 2 3 7" xfId="2754" xr:uid="{00000000-0005-0000-0000-00008F210000}"/>
    <cellStyle name="Note 3 2 3 8" xfId="2835" xr:uid="{00000000-0005-0000-0000-000090210000}"/>
    <cellStyle name="Note 3 2 3 8 2" xfId="7059" xr:uid="{00000000-0005-0000-0000-000091210000}"/>
    <cellStyle name="Note 3 2 3 8 2 2" xfId="15501" xr:uid="{2DCBD764-B589-49E1-824D-4999AAAF7763}"/>
    <cellStyle name="Note 3 2 3 8 3" xfId="11283" xr:uid="{829E171C-1F36-4491-9277-1581499BE91D}"/>
    <cellStyle name="Note 3 2 3 9" xfId="4914" xr:uid="{00000000-0005-0000-0000-000092210000}"/>
    <cellStyle name="Note 3 2 3 9 2" xfId="13356" xr:uid="{A8952D6D-2553-40DD-B742-C7BEB5472EEF}"/>
    <cellStyle name="Note 3 2 4" xfId="1014" xr:uid="{00000000-0005-0000-0000-000093210000}"/>
    <cellStyle name="Note 3 2 4 2" xfId="3246" xr:uid="{00000000-0005-0000-0000-000094210000}"/>
    <cellStyle name="Note 3 2 4 2 2" xfId="7469" xr:uid="{00000000-0005-0000-0000-000095210000}"/>
    <cellStyle name="Note 3 2 4 2 2 2" xfId="15911" xr:uid="{BDB08BD4-D611-43BE-B856-C34DD35DDA34}"/>
    <cellStyle name="Note 3 2 4 2 3" xfId="11693" xr:uid="{0E5DB7DB-B25F-4661-82FA-77C825BEB69F}"/>
    <cellStyle name="Note 3 2 4 3" xfId="5324" xr:uid="{00000000-0005-0000-0000-000096210000}"/>
    <cellStyle name="Note 3 2 4 3 2" xfId="13766" xr:uid="{D7CE0109-AB1B-4F54-9FB0-D516FE8DB532}"/>
    <cellStyle name="Note 3 2 4 4" xfId="9548" xr:uid="{6F14F172-B725-4B50-AB23-0C0EF6FF4962}"/>
    <cellStyle name="Note 3 2 5" xfId="1429" xr:uid="{00000000-0005-0000-0000-000097210000}"/>
    <cellStyle name="Note 3 2 5 2" xfId="3659" xr:uid="{00000000-0005-0000-0000-000098210000}"/>
    <cellStyle name="Note 3 2 5 2 2" xfId="7882" xr:uid="{00000000-0005-0000-0000-000099210000}"/>
    <cellStyle name="Note 3 2 5 2 2 2" xfId="16324" xr:uid="{14BFB401-124E-4E00-8BE0-35DC8C2E63FB}"/>
    <cellStyle name="Note 3 2 5 2 3" xfId="12106" xr:uid="{E9D4F8EA-930C-49E3-A3E0-8FD8BBF95ED2}"/>
    <cellStyle name="Note 3 2 5 3" xfId="5737" xr:uid="{00000000-0005-0000-0000-00009A210000}"/>
    <cellStyle name="Note 3 2 5 3 2" xfId="14179" xr:uid="{11F4EBB2-2ED3-43CE-98A9-02D489E9433D}"/>
    <cellStyle name="Note 3 2 5 4" xfId="9961" xr:uid="{D058ECDD-9880-42E7-BDBC-443172436728}"/>
    <cellStyle name="Note 3 2 6" xfId="1843" xr:uid="{00000000-0005-0000-0000-00009B210000}"/>
    <cellStyle name="Note 3 2 6 2" xfId="4072" xr:uid="{00000000-0005-0000-0000-00009C210000}"/>
    <cellStyle name="Note 3 2 6 2 2" xfId="8295" xr:uid="{00000000-0005-0000-0000-00009D210000}"/>
    <cellStyle name="Note 3 2 6 2 2 2" xfId="16737" xr:uid="{9A8BA521-E208-4146-A9C3-F708A9CAE4AA}"/>
    <cellStyle name="Note 3 2 6 2 3" xfId="12519" xr:uid="{C52477EB-475D-4DBF-AB2B-14E981377B93}"/>
    <cellStyle name="Note 3 2 6 3" xfId="6150" xr:uid="{00000000-0005-0000-0000-00009E210000}"/>
    <cellStyle name="Note 3 2 6 3 2" xfId="14592" xr:uid="{9FAE36D4-F16A-467C-81B3-D086E1D4FE06}"/>
    <cellStyle name="Note 3 2 6 4" xfId="10374" xr:uid="{22582A41-E86C-47A0-A677-199A9AD08B40}"/>
    <cellStyle name="Note 3 2 7" xfId="2256" xr:uid="{00000000-0005-0000-0000-00009F210000}"/>
    <cellStyle name="Note 3 2 7 2" xfId="4485" xr:uid="{00000000-0005-0000-0000-0000A0210000}"/>
    <cellStyle name="Note 3 2 7 2 2" xfId="8708" xr:uid="{00000000-0005-0000-0000-0000A1210000}"/>
    <cellStyle name="Note 3 2 7 2 2 2" xfId="17150" xr:uid="{47454F2E-C62A-448F-8DF2-EC1D7DC36885}"/>
    <cellStyle name="Note 3 2 7 2 3" xfId="12932" xr:uid="{5DE21E43-962E-447B-B247-B0F31675B2C7}"/>
    <cellStyle name="Note 3 2 7 3" xfId="6563" xr:uid="{00000000-0005-0000-0000-0000A2210000}"/>
    <cellStyle name="Note 3 2 7 3 2" xfId="15005" xr:uid="{D77FE57D-212E-4394-AC50-467508EF589F}"/>
    <cellStyle name="Note 3 2 7 4" xfId="10787" xr:uid="{A6BD0532-72E3-4395-AD30-0DD6C962D25F}"/>
    <cellStyle name="Note 3 2 8" xfId="2692" xr:uid="{00000000-0005-0000-0000-0000A3210000}"/>
    <cellStyle name="Note 3 2 8 2" xfId="6976" xr:uid="{00000000-0005-0000-0000-0000A4210000}"/>
    <cellStyle name="Note 3 2 8 2 2" xfId="15418" xr:uid="{FCD2BEDD-8730-4B57-BA0E-977AFDF7B423}"/>
    <cellStyle name="Note 3 2 8 3" xfId="11200" xr:uid="{3E5FA0D8-1BB5-4EDE-9D49-471F326BBDC1}"/>
    <cellStyle name="Note 3 2 9" xfId="2751" xr:uid="{00000000-0005-0000-0000-0000A5210000}"/>
    <cellStyle name="Note 3 3" xfId="558" xr:uid="{00000000-0005-0000-0000-0000A6210000}"/>
    <cellStyle name="Note 3 3 10" xfId="4915" xr:uid="{00000000-0005-0000-0000-0000A7210000}"/>
    <cellStyle name="Note 3 3 10 2" xfId="13357" xr:uid="{EE997ED1-7AB7-4586-857D-291A87714A22}"/>
    <cellStyle name="Note 3 3 11" xfId="9139" xr:uid="{D97B497A-7F65-495E-8554-868D1077215D}"/>
    <cellStyle name="Note 3 3 2" xfId="559" xr:uid="{00000000-0005-0000-0000-0000A8210000}"/>
    <cellStyle name="Note 3 3 2 10" xfId="9140" xr:uid="{1F31A897-7961-470C-B51D-F2861693939C}"/>
    <cellStyle name="Note 3 3 2 2" xfId="1019" xr:uid="{00000000-0005-0000-0000-0000A9210000}"/>
    <cellStyle name="Note 3 3 2 2 2" xfId="3251" xr:uid="{00000000-0005-0000-0000-0000AA210000}"/>
    <cellStyle name="Note 3 3 2 2 2 2" xfId="7474" xr:uid="{00000000-0005-0000-0000-0000AB210000}"/>
    <cellStyle name="Note 3 3 2 2 2 2 2" xfId="15916" xr:uid="{0F7BE3B3-429D-4A66-A55F-237DD9C87BBC}"/>
    <cellStyle name="Note 3 3 2 2 2 3" xfId="11698" xr:uid="{AA09CA81-9091-4C87-B7FE-B255DDB69233}"/>
    <cellStyle name="Note 3 3 2 2 3" xfId="5329" xr:uid="{00000000-0005-0000-0000-0000AC210000}"/>
    <cellStyle name="Note 3 3 2 2 3 2" xfId="13771" xr:uid="{5AC3B365-E8DA-45A6-B5F5-743C06217335}"/>
    <cellStyle name="Note 3 3 2 2 4" xfId="9553" xr:uid="{36617860-9BB2-4C8B-AB3E-60F15A6FD791}"/>
    <cellStyle name="Note 3 3 2 3" xfId="1434" xr:uid="{00000000-0005-0000-0000-0000AD210000}"/>
    <cellStyle name="Note 3 3 2 3 2" xfId="3664" xr:uid="{00000000-0005-0000-0000-0000AE210000}"/>
    <cellStyle name="Note 3 3 2 3 2 2" xfId="7887" xr:uid="{00000000-0005-0000-0000-0000AF210000}"/>
    <cellStyle name="Note 3 3 2 3 2 2 2" xfId="16329" xr:uid="{EA90A5D3-458A-449C-AC8D-8327E4E0D0D5}"/>
    <cellStyle name="Note 3 3 2 3 2 3" xfId="12111" xr:uid="{9B881E04-0B70-4947-A599-14AE746DDE04}"/>
    <cellStyle name="Note 3 3 2 3 3" xfId="5742" xr:uid="{00000000-0005-0000-0000-0000B0210000}"/>
    <cellStyle name="Note 3 3 2 3 3 2" xfId="14184" xr:uid="{18B1DC37-DD70-4631-AD44-F052A272AC06}"/>
    <cellStyle name="Note 3 3 2 3 4" xfId="9966" xr:uid="{707D7137-BD28-4F40-A075-739BCA0329DD}"/>
    <cellStyle name="Note 3 3 2 4" xfId="1848" xr:uid="{00000000-0005-0000-0000-0000B1210000}"/>
    <cellStyle name="Note 3 3 2 4 2" xfId="4077" xr:uid="{00000000-0005-0000-0000-0000B2210000}"/>
    <cellStyle name="Note 3 3 2 4 2 2" xfId="8300" xr:uid="{00000000-0005-0000-0000-0000B3210000}"/>
    <cellStyle name="Note 3 3 2 4 2 2 2" xfId="16742" xr:uid="{625272D6-F00D-43BB-905B-E536EE85E089}"/>
    <cellStyle name="Note 3 3 2 4 2 3" xfId="12524" xr:uid="{1BC3B316-EE76-4401-8983-A86A426F9BB1}"/>
    <cellStyle name="Note 3 3 2 4 3" xfId="6155" xr:uid="{00000000-0005-0000-0000-0000B4210000}"/>
    <cellStyle name="Note 3 3 2 4 3 2" xfId="14597" xr:uid="{79AF3C9B-7237-4B05-BD55-DB4B44688B98}"/>
    <cellStyle name="Note 3 3 2 4 4" xfId="10379" xr:uid="{E36A7723-60FD-4B89-92B8-C9AAA919892E}"/>
    <cellStyle name="Note 3 3 2 5" xfId="2261" xr:uid="{00000000-0005-0000-0000-0000B5210000}"/>
    <cellStyle name="Note 3 3 2 5 2" xfId="4490" xr:uid="{00000000-0005-0000-0000-0000B6210000}"/>
    <cellStyle name="Note 3 3 2 5 2 2" xfId="8713" xr:uid="{00000000-0005-0000-0000-0000B7210000}"/>
    <cellStyle name="Note 3 3 2 5 2 2 2" xfId="17155" xr:uid="{E027228A-A4DF-4799-8537-15E49BD691FF}"/>
    <cellStyle name="Note 3 3 2 5 2 3" xfId="12937" xr:uid="{9A017AFA-3854-445A-A9BC-C548BA7129D8}"/>
    <cellStyle name="Note 3 3 2 5 3" xfId="6568" xr:uid="{00000000-0005-0000-0000-0000B8210000}"/>
    <cellStyle name="Note 3 3 2 5 3 2" xfId="15010" xr:uid="{80B1A89F-ED09-448F-A108-766E37ADAB96}"/>
    <cellStyle name="Note 3 3 2 5 4" xfId="10792" xr:uid="{9190B449-54BE-4DE1-A508-9D7F88FC6E5D}"/>
    <cellStyle name="Note 3 3 2 6" xfId="2697" xr:uid="{00000000-0005-0000-0000-0000B9210000}"/>
    <cellStyle name="Note 3 3 2 6 2" xfId="6981" xr:uid="{00000000-0005-0000-0000-0000BA210000}"/>
    <cellStyle name="Note 3 3 2 6 2 2" xfId="15423" xr:uid="{02BA02F6-B171-4152-AFCE-5C679FA2D03E}"/>
    <cellStyle name="Note 3 3 2 6 3" xfId="11205" xr:uid="{03A49176-E178-4348-91D8-85DFC9AC9664}"/>
    <cellStyle name="Note 3 3 2 7" xfId="2756" xr:uid="{00000000-0005-0000-0000-0000BB210000}"/>
    <cellStyle name="Note 3 3 2 8" xfId="2837" xr:uid="{00000000-0005-0000-0000-0000BC210000}"/>
    <cellStyle name="Note 3 3 2 8 2" xfId="7061" xr:uid="{00000000-0005-0000-0000-0000BD210000}"/>
    <cellStyle name="Note 3 3 2 8 2 2" xfId="15503" xr:uid="{C4E51466-5887-4136-80F5-71225D791CDF}"/>
    <cellStyle name="Note 3 3 2 8 3" xfId="11285" xr:uid="{BBCABA76-7160-4CA6-8463-B36E26574A78}"/>
    <cellStyle name="Note 3 3 2 9" xfId="4916" xr:uid="{00000000-0005-0000-0000-0000BE210000}"/>
    <cellStyle name="Note 3 3 2 9 2" xfId="13358" xr:uid="{A4E58BE1-8653-4DC5-874D-DB3AE46D47BB}"/>
    <cellStyle name="Note 3 3 3" xfId="1018" xr:uid="{00000000-0005-0000-0000-0000BF210000}"/>
    <cellStyle name="Note 3 3 3 2" xfId="3250" xr:uid="{00000000-0005-0000-0000-0000C0210000}"/>
    <cellStyle name="Note 3 3 3 2 2" xfId="7473" xr:uid="{00000000-0005-0000-0000-0000C1210000}"/>
    <cellStyle name="Note 3 3 3 2 2 2" xfId="15915" xr:uid="{F2787F95-7639-4B47-87DC-0DE630D70FDE}"/>
    <cellStyle name="Note 3 3 3 2 3" xfId="11697" xr:uid="{3882FA7A-CDE6-4F5B-BB8C-2412352449EF}"/>
    <cellStyle name="Note 3 3 3 3" xfId="5328" xr:uid="{00000000-0005-0000-0000-0000C2210000}"/>
    <cellStyle name="Note 3 3 3 3 2" xfId="13770" xr:uid="{1239A8D0-35F6-4A16-ADE2-6DF0CC97B4F1}"/>
    <cellStyle name="Note 3 3 3 4" xfId="9552" xr:uid="{CE443CB0-9C9F-4E19-AF64-7CE4E64452D8}"/>
    <cellStyle name="Note 3 3 4" xfId="1433" xr:uid="{00000000-0005-0000-0000-0000C3210000}"/>
    <cellStyle name="Note 3 3 4 2" xfId="3663" xr:uid="{00000000-0005-0000-0000-0000C4210000}"/>
    <cellStyle name="Note 3 3 4 2 2" xfId="7886" xr:uid="{00000000-0005-0000-0000-0000C5210000}"/>
    <cellStyle name="Note 3 3 4 2 2 2" xfId="16328" xr:uid="{17D767D1-FEBF-47A2-880E-3E380BF3AD2E}"/>
    <cellStyle name="Note 3 3 4 2 3" xfId="12110" xr:uid="{287F1696-159F-4F02-80E4-02E35B58152D}"/>
    <cellStyle name="Note 3 3 4 3" xfId="5741" xr:uid="{00000000-0005-0000-0000-0000C6210000}"/>
    <cellStyle name="Note 3 3 4 3 2" xfId="14183" xr:uid="{836E3B7C-7B95-4942-AD91-40FCAC15DA52}"/>
    <cellStyle name="Note 3 3 4 4" xfId="9965" xr:uid="{876B080C-0A13-450F-96D9-6F179968DB37}"/>
    <cellStyle name="Note 3 3 5" xfId="1847" xr:uid="{00000000-0005-0000-0000-0000C7210000}"/>
    <cellStyle name="Note 3 3 5 2" xfId="4076" xr:uid="{00000000-0005-0000-0000-0000C8210000}"/>
    <cellStyle name="Note 3 3 5 2 2" xfId="8299" xr:uid="{00000000-0005-0000-0000-0000C9210000}"/>
    <cellStyle name="Note 3 3 5 2 2 2" xfId="16741" xr:uid="{8E72DF33-DA3C-4AAD-B89B-1D31BCDF9159}"/>
    <cellStyle name="Note 3 3 5 2 3" xfId="12523" xr:uid="{F13CCA75-5B3E-4D93-828D-4462E9D903EA}"/>
    <cellStyle name="Note 3 3 5 3" xfId="6154" xr:uid="{00000000-0005-0000-0000-0000CA210000}"/>
    <cellStyle name="Note 3 3 5 3 2" xfId="14596" xr:uid="{056A2009-8072-4A68-B37E-50F314FCDB2B}"/>
    <cellStyle name="Note 3 3 5 4" xfId="10378" xr:uid="{F189E028-B6CE-4BDC-A364-046B5EF749E5}"/>
    <cellStyle name="Note 3 3 6" xfId="2260" xr:uid="{00000000-0005-0000-0000-0000CB210000}"/>
    <cellStyle name="Note 3 3 6 2" xfId="4489" xr:uid="{00000000-0005-0000-0000-0000CC210000}"/>
    <cellStyle name="Note 3 3 6 2 2" xfId="8712" xr:uid="{00000000-0005-0000-0000-0000CD210000}"/>
    <cellStyle name="Note 3 3 6 2 2 2" xfId="17154" xr:uid="{7173213A-1E4D-46A7-90FB-0AE7478DAC5A}"/>
    <cellStyle name="Note 3 3 6 2 3" xfId="12936" xr:uid="{C090252F-F1FE-4CCB-ACB0-ABF6D54DAD4B}"/>
    <cellStyle name="Note 3 3 6 3" xfId="6567" xr:uid="{00000000-0005-0000-0000-0000CE210000}"/>
    <cellStyle name="Note 3 3 6 3 2" xfId="15009" xr:uid="{817F129C-5841-4C26-936A-9354A7ADBB5D}"/>
    <cellStyle name="Note 3 3 6 4" xfId="10791" xr:uid="{38ABF14E-2139-4949-852F-B1835640CE54}"/>
    <cellStyle name="Note 3 3 7" xfId="2696" xr:uid="{00000000-0005-0000-0000-0000CF210000}"/>
    <cellStyle name="Note 3 3 7 2" xfId="6980" xr:uid="{00000000-0005-0000-0000-0000D0210000}"/>
    <cellStyle name="Note 3 3 7 2 2" xfId="15422" xr:uid="{0FA85262-F470-47C7-A4C3-5E79AF21B1F6}"/>
    <cellStyle name="Note 3 3 7 3" xfId="11204" xr:uid="{2A0319DD-2DB6-4103-B5B6-C7B1E392BD0B}"/>
    <cellStyle name="Note 3 3 8" xfId="2755" xr:uid="{00000000-0005-0000-0000-0000D1210000}"/>
    <cellStyle name="Note 3 3 9" xfId="2836" xr:uid="{00000000-0005-0000-0000-0000D2210000}"/>
    <cellStyle name="Note 3 3 9 2" xfId="7060" xr:uid="{00000000-0005-0000-0000-0000D3210000}"/>
    <cellStyle name="Note 3 3 9 2 2" xfId="15502" xr:uid="{E198C604-BC5A-495C-9201-5EFDD9401C56}"/>
    <cellStyle name="Note 3 3 9 3" xfId="11284" xr:uid="{455A874C-1E4C-4F21-B7F1-7A41945D1027}"/>
    <cellStyle name="Note 3 4" xfId="560" xr:uid="{00000000-0005-0000-0000-0000D4210000}"/>
    <cellStyle name="Note 3 4 10" xfId="9141" xr:uid="{5390084F-F630-412E-BA10-A64BCC7CDFA8}"/>
    <cellStyle name="Note 3 4 2" xfId="1020" xr:uid="{00000000-0005-0000-0000-0000D5210000}"/>
    <cellStyle name="Note 3 4 2 2" xfId="3252" xr:uid="{00000000-0005-0000-0000-0000D6210000}"/>
    <cellStyle name="Note 3 4 2 2 2" xfId="7475" xr:uid="{00000000-0005-0000-0000-0000D7210000}"/>
    <cellStyle name="Note 3 4 2 2 2 2" xfId="15917" xr:uid="{ACF65237-F695-45D9-B816-84C250F816C2}"/>
    <cellStyle name="Note 3 4 2 2 3" xfId="11699" xr:uid="{00AD113C-0516-47E0-8696-786CDE8F1493}"/>
    <cellStyle name="Note 3 4 2 3" xfId="5330" xr:uid="{00000000-0005-0000-0000-0000D8210000}"/>
    <cellStyle name="Note 3 4 2 3 2" xfId="13772" xr:uid="{FA2AA899-5E9E-40C7-9C93-D7C579F9326E}"/>
    <cellStyle name="Note 3 4 2 4" xfId="9554" xr:uid="{3DD84FB0-B86D-41BF-A041-BFF4EFC98862}"/>
    <cellStyle name="Note 3 4 3" xfId="1435" xr:uid="{00000000-0005-0000-0000-0000D9210000}"/>
    <cellStyle name="Note 3 4 3 2" xfId="3665" xr:uid="{00000000-0005-0000-0000-0000DA210000}"/>
    <cellStyle name="Note 3 4 3 2 2" xfId="7888" xr:uid="{00000000-0005-0000-0000-0000DB210000}"/>
    <cellStyle name="Note 3 4 3 2 2 2" xfId="16330" xr:uid="{E9477508-1CBF-40F0-B316-B4241F3E77AF}"/>
    <cellStyle name="Note 3 4 3 2 3" xfId="12112" xr:uid="{8EFDB4C6-CB57-4068-879F-33C1E4C9765C}"/>
    <cellStyle name="Note 3 4 3 3" xfId="5743" xr:uid="{00000000-0005-0000-0000-0000DC210000}"/>
    <cellStyle name="Note 3 4 3 3 2" xfId="14185" xr:uid="{8A083192-55D3-48A0-A0BE-9750F7460D7D}"/>
    <cellStyle name="Note 3 4 3 4" xfId="9967" xr:uid="{42BEA653-6751-40EC-8068-C6BBC04433FD}"/>
    <cellStyle name="Note 3 4 4" xfId="1849" xr:uid="{00000000-0005-0000-0000-0000DD210000}"/>
    <cellStyle name="Note 3 4 4 2" xfId="4078" xr:uid="{00000000-0005-0000-0000-0000DE210000}"/>
    <cellStyle name="Note 3 4 4 2 2" xfId="8301" xr:uid="{00000000-0005-0000-0000-0000DF210000}"/>
    <cellStyle name="Note 3 4 4 2 2 2" xfId="16743" xr:uid="{5B0F753D-4448-45EC-84BF-C9F1AEE5D1BC}"/>
    <cellStyle name="Note 3 4 4 2 3" xfId="12525" xr:uid="{474A16B9-0644-4956-831D-676B9E506BFE}"/>
    <cellStyle name="Note 3 4 4 3" xfId="6156" xr:uid="{00000000-0005-0000-0000-0000E0210000}"/>
    <cellStyle name="Note 3 4 4 3 2" xfId="14598" xr:uid="{A85778B4-34C3-4364-AC3F-7496847A3E74}"/>
    <cellStyle name="Note 3 4 4 4" xfId="10380" xr:uid="{CC669B8B-EB14-4E6F-AB76-19030FE58D2D}"/>
    <cellStyle name="Note 3 4 5" xfId="2262" xr:uid="{00000000-0005-0000-0000-0000E1210000}"/>
    <cellStyle name="Note 3 4 5 2" xfId="4491" xr:uid="{00000000-0005-0000-0000-0000E2210000}"/>
    <cellStyle name="Note 3 4 5 2 2" xfId="8714" xr:uid="{00000000-0005-0000-0000-0000E3210000}"/>
    <cellStyle name="Note 3 4 5 2 2 2" xfId="17156" xr:uid="{2B136939-F063-42B3-9469-87024D60F69F}"/>
    <cellStyle name="Note 3 4 5 2 3" xfId="12938" xr:uid="{87AF48BA-5828-4AD0-9BBD-BE04C023B1B9}"/>
    <cellStyle name="Note 3 4 5 3" xfId="6569" xr:uid="{00000000-0005-0000-0000-0000E4210000}"/>
    <cellStyle name="Note 3 4 5 3 2" xfId="15011" xr:uid="{9E7B0B0B-1EF2-4201-A7AC-842DA0236495}"/>
    <cellStyle name="Note 3 4 5 4" xfId="10793" xr:uid="{435B8952-BE95-4B57-AC96-83408038D1ED}"/>
    <cellStyle name="Note 3 4 6" xfId="2698" xr:uid="{00000000-0005-0000-0000-0000E5210000}"/>
    <cellStyle name="Note 3 4 6 2" xfId="6982" xr:uid="{00000000-0005-0000-0000-0000E6210000}"/>
    <cellStyle name="Note 3 4 6 2 2" xfId="15424" xr:uid="{AFF66939-E0CA-43A3-B735-689EF1707F71}"/>
    <cellStyle name="Note 3 4 6 3" xfId="11206" xr:uid="{96BF9BB9-6E56-42E9-B3A1-69FF2FBC186B}"/>
    <cellStyle name="Note 3 4 7" xfId="2757" xr:uid="{00000000-0005-0000-0000-0000E7210000}"/>
    <cellStyle name="Note 3 4 8" xfId="2838" xr:uid="{00000000-0005-0000-0000-0000E8210000}"/>
    <cellStyle name="Note 3 4 8 2" xfId="7062" xr:uid="{00000000-0005-0000-0000-0000E9210000}"/>
    <cellStyle name="Note 3 4 8 2 2" xfId="15504" xr:uid="{F50D6405-FAD1-4928-8A5D-4B8A2C836064}"/>
    <cellStyle name="Note 3 4 8 3" xfId="11286" xr:uid="{B6C8C87A-2FD5-41DF-9494-FD3512E2DFF9}"/>
    <cellStyle name="Note 3 4 9" xfId="4917" xr:uid="{00000000-0005-0000-0000-0000EA210000}"/>
    <cellStyle name="Note 3 4 9 2" xfId="13359" xr:uid="{6B895903-81CD-4102-A763-80103C9405C9}"/>
    <cellStyle name="Note 3 5" xfId="561" xr:uid="{00000000-0005-0000-0000-0000EB210000}"/>
    <cellStyle name="Note 3 5 10" xfId="9142" xr:uid="{2D5E6BF0-2EE8-4E05-A6D4-A16ED95A52B7}"/>
    <cellStyle name="Note 3 5 2" xfId="1021" xr:uid="{00000000-0005-0000-0000-0000EC210000}"/>
    <cellStyle name="Note 3 5 2 2" xfId="3253" xr:uid="{00000000-0005-0000-0000-0000ED210000}"/>
    <cellStyle name="Note 3 5 2 2 2" xfId="7476" xr:uid="{00000000-0005-0000-0000-0000EE210000}"/>
    <cellStyle name="Note 3 5 2 2 2 2" xfId="15918" xr:uid="{9137D5BB-7B30-4A0F-B607-72B419292DD6}"/>
    <cellStyle name="Note 3 5 2 2 3" xfId="11700" xr:uid="{EFBFF13B-6DF7-4A60-8F90-64C163B0EA4F}"/>
    <cellStyle name="Note 3 5 2 3" xfId="5331" xr:uid="{00000000-0005-0000-0000-0000EF210000}"/>
    <cellStyle name="Note 3 5 2 3 2" xfId="13773" xr:uid="{88E2F0BA-A91F-4850-8E95-DF838AE5B614}"/>
    <cellStyle name="Note 3 5 2 4" xfId="9555" xr:uid="{C949D3F1-5F8D-46EC-A04E-828DCD78FD6A}"/>
    <cellStyle name="Note 3 5 3" xfId="1436" xr:uid="{00000000-0005-0000-0000-0000F0210000}"/>
    <cellStyle name="Note 3 5 3 2" xfId="3666" xr:uid="{00000000-0005-0000-0000-0000F1210000}"/>
    <cellStyle name="Note 3 5 3 2 2" xfId="7889" xr:uid="{00000000-0005-0000-0000-0000F2210000}"/>
    <cellStyle name="Note 3 5 3 2 2 2" xfId="16331" xr:uid="{D59FFB1A-D8B8-46F7-A45D-0DA1D294AA8A}"/>
    <cellStyle name="Note 3 5 3 2 3" xfId="12113" xr:uid="{AC5B39DF-EDD2-4369-98FA-5ECF351D600F}"/>
    <cellStyle name="Note 3 5 3 3" xfId="5744" xr:uid="{00000000-0005-0000-0000-0000F3210000}"/>
    <cellStyle name="Note 3 5 3 3 2" xfId="14186" xr:uid="{D1C608EF-24E2-46D2-AC6F-4A4AC9C6B904}"/>
    <cellStyle name="Note 3 5 3 4" xfId="9968" xr:uid="{5C555364-CB9D-40F5-BC17-01CE796C7282}"/>
    <cellStyle name="Note 3 5 4" xfId="1850" xr:uid="{00000000-0005-0000-0000-0000F4210000}"/>
    <cellStyle name="Note 3 5 4 2" xfId="4079" xr:uid="{00000000-0005-0000-0000-0000F5210000}"/>
    <cellStyle name="Note 3 5 4 2 2" xfId="8302" xr:uid="{00000000-0005-0000-0000-0000F6210000}"/>
    <cellStyle name="Note 3 5 4 2 2 2" xfId="16744" xr:uid="{BCC1DA8C-CADE-498A-B7EB-0D67985010DB}"/>
    <cellStyle name="Note 3 5 4 2 3" xfId="12526" xr:uid="{FFDA9961-E0EE-49BB-BF6E-AD255755CDDC}"/>
    <cellStyle name="Note 3 5 4 3" xfId="6157" xr:uid="{00000000-0005-0000-0000-0000F7210000}"/>
    <cellStyle name="Note 3 5 4 3 2" xfId="14599" xr:uid="{6D04F1BC-0941-4950-9076-71687B4FE1BA}"/>
    <cellStyle name="Note 3 5 4 4" xfId="10381" xr:uid="{8A3CEFB5-B27D-4BDF-8A0D-27D12F324D34}"/>
    <cellStyle name="Note 3 5 5" xfId="2263" xr:uid="{00000000-0005-0000-0000-0000F8210000}"/>
    <cellStyle name="Note 3 5 5 2" xfId="4492" xr:uid="{00000000-0005-0000-0000-0000F9210000}"/>
    <cellStyle name="Note 3 5 5 2 2" xfId="8715" xr:uid="{00000000-0005-0000-0000-0000FA210000}"/>
    <cellStyle name="Note 3 5 5 2 2 2" xfId="17157" xr:uid="{46DAA1EC-0A3F-4021-A89E-5E1B3D30742A}"/>
    <cellStyle name="Note 3 5 5 2 3" xfId="12939" xr:uid="{F47F0E76-5D28-41CB-8E47-F852058CDE6A}"/>
    <cellStyle name="Note 3 5 5 3" xfId="6570" xr:uid="{00000000-0005-0000-0000-0000FB210000}"/>
    <cellStyle name="Note 3 5 5 3 2" xfId="15012" xr:uid="{B376BC61-9E93-4C32-BD76-314A98BFFC70}"/>
    <cellStyle name="Note 3 5 5 4" xfId="10794" xr:uid="{9F71F560-D5D2-4DA7-801E-CCEAD905EEDE}"/>
    <cellStyle name="Note 3 5 6" xfId="2699" xr:uid="{00000000-0005-0000-0000-0000FC210000}"/>
    <cellStyle name="Note 3 5 6 2" xfId="6983" xr:uid="{00000000-0005-0000-0000-0000FD210000}"/>
    <cellStyle name="Note 3 5 6 2 2" xfId="15425" xr:uid="{4CD67FEE-D7C4-4E0B-B0A9-88F277BCBBA9}"/>
    <cellStyle name="Note 3 5 6 3" xfId="11207" xr:uid="{2E8E1EAE-54C9-47A1-9B34-3CC9AAB827DF}"/>
    <cellStyle name="Note 3 5 7" xfId="2758" xr:uid="{00000000-0005-0000-0000-0000FE210000}"/>
    <cellStyle name="Note 3 5 8" xfId="2839" xr:uid="{00000000-0005-0000-0000-0000FF210000}"/>
    <cellStyle name="Note 3 5 8 2" xfId="7063" xr:uid="{00000000-0005-0000-0000-000000220000}"/>
    <cellStyle name="Note 3 5 8 2 2" xfId="15505" xr:uid="{7E93DA55-84E2-4C67-A5E8-34900B3E9799}"/>
    <cellStyle name="Note 3 5 8 3" xfId="11287" xr:uid="{1C3732FB-E8DB-491E-94EA-B5FA81B7CE4A}"/>
    <cellStyle name="Note 3 5 9" xfId="4918" xr:uid="{00000000-0005-0000-0000-000001220000}"/>
    <cellStyle name="Note 3 5 9 2" xfId="13360" xr:uid="{EE76428B-D8F4-448E-B686-63D5DDC43DCA}"/>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E44F08E8-EDCD-4A48-BD6E-473C0685280A}"/>
    <cellStyle name="Percent 4" xfId="4502" xr:uid="{00000000-0005-0000-0000-000007220000}"/>
    <cellStyle name="Percent 4 2" xfId="8718" xr:uid="{00000000-0005-0000-0000-000008220000}"/>
    <cellStyle name="Percent 4 2 2" xfId="17160" xr:uid="{252C3989-9462-4249-BD52-F9EEA37659F6}"/>
    <cellStyle name="Percent 4 3" xfId="8721" xr:uid="{D09CD3FC-D632-4B66-A68A-5CC92F993799}"/>
    <cellStyle name="Percent 4 3 2" xfId="8725" xr:uid="{D57AE941-8E59-43F0-AB73-09B3BCCFA234}"/>
    <cellStyle name="Percent 4 3 2 2" xfId="8728" xr:uid="{D24D76A7-D076-4554-9944-551B122393DE}"/>
    <cellStyle name="Percent 4 3 2 2 2" xfId="17169" xr:uid="{AEA138CE-AB14-40A0-BE67-F2754AB45811}"/>
    <cellStyle name="Percent 4 3 2 3" xfId="17166" xr:uid="{160A8C4F-8D9F-4353-B099-0D6A28D21A74}"/>
    <cellStyle name="Percent 4 3 3" xfId="17163" xr:uid="{A65166E5-5119-4513-8E88-FEC1F06A7155}"/>
    <cellStyle name="Percent 4 4" xfId="12946" xr:uid="{112E9655-EC95-43BE-9C25-4205100176F9}"/>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15240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18194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18" dataDxfId="117" headerRowCellStyle="Normal 16 3" dataCellStyle="Normal 16 3">
  <autoFilter ref="BM8:BM13" xr:uid="{EC5E3245-E94C-4732-9264-A1FF7840F5A2}"/>
  <tableColumns count="1">
    <tableColumn id="1" xr3:uid="{65240E69-32D4-48CF-98F7-C12A61079F3B}" name="Construction Type" dataDxfId="116" dataCellStyle="Normal 16 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5" dataDxfId="114"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3" dataCellStyle="Normal 15">
      <calculatedColumnFormula>IFERROR(MIN(4,MATCH(Application!B718,UnitSizes,0)-1),"")</calculatedColumnFormula>
    </tableColumn>
    <tableColumn id="3" xr3:uid="{3C170205-C158-4CBB-8CF5-9AF725351349}" name="Quantity" dataDxfId="112" dataCellStyle="Normal 15">
      <calculatedColumnFormula>Application!G718</calculatedColumnFormula>
    </tableColumn>
    <tableColumn id="6" xr3:uid="{7C05B4DE-3AC1-47F3-9C25-D16553367CFA}" name="iAMI" dataDxfId="111" dataCellStyle="Percent">
      <calculatedColumnFormula>Application!AC718</calculatedColumnFormula>
    </tableColumn>
    <tableColumn id="7" xr3:uid="{2B6706B4-1A54-4104-A649-2FE0A4FF8E92}" name="AMI" dataDxfId="110" dataCellStyle="Percent">
      <calculatedColumnFormula>IF(Cdlac[[#This Row],[Quantity]]&gt;0,IF(Cdlac[[#This Row],[Federal]],30%,IF($G$36,40%,Cdlac[[#This Row],[iAMI]])),"")</calculatedColumnFormula>
    </tableColumn>
    <tableColumn id="8" xr3:uid="{A8EB42BE-4789-45EE-A11C-67C20CB0D91B}" name="Restricted Rent" dataDxfId="109" dataCellStyle="Normal 15">
      <calculatedColumnFormula array="1">IF(Cdlac[[#This Row],[Quantity]]&gt;0,INDEX(TcacRents,$P$18,Cdlac[[#This Row],[Bedrooms]]+1)*Cdlac[[#This Row],[AMI]],"")</calculatedColumnFormula>
    </tableColumn>
    <tableColumn id="9" xr3:uid="{E7AC364D-B07B-4A38-B74E-DAE64921E290}" name="Fair Market Rent" dataDxfId="108" dataCellStyle="Normal 15">
      <calculatedColumnFormula array="1">IF(Cdlac[[#This Row],[Quantity]]&gt;0,INDEX(HudFmrs,$P$18,Cdlac[[#This Row],[Bedrooms]]+1),"")</calculatedColumnFormula>
    </tableColumn>
    <tableColumn id="10" xr3:uid="{630C504C-0251-4207-88FB-451973BE380A}" name="Delta" dataDxfId="107" dataCellStyle="Normal 15">
      <calculatedColumnFormula>IF(Cdlac[[#This Row],[Quantity]]&gt;0,MAX(0,Cdlac[[#This Row],[Fair Market Rent]]-Cdlac[[#This Row],[Restricted Rent]]),"")</calculatedColumnFormula>
    </tableColumn>
    <tableColumn id="11" xr3:uid="{9C619E83-105C-4EED-A831-1DAB5BB5AC88}" name="Population" dataDxfId="106" dataCellStyle="Normal 15">
      <calculatedColumnFormula>IF(Cdlac[[#This Row],[Quantity]]&gt;0,AND(Application!AK718&lt;&gt;"N/A",Application!AK718&lt;&gt;"")*Cdlac[[#This Row],[Quantity]],"")</calculatedColumnFormula>
    </tableColumn>
    <tableColumn id="4" xr3:uid="{5D52F6BE-992B-4621-8785-ED1E8B62A78F}" name="Federal" dataDxfId="105"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6.v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6640625" customWidth="1"/>
    <col min="6" max="6" width="3" customWidth="1"/>
    <col min="7" max="38" width="2.6640625" customWidth="1"/>
    <col min="39" max="16384" width="2.6640625" hidden="1"/>
  </cols>
  <sheetData>
    <row r="1" spans="1:38">
      <c r="A1" s="1266" t="s">
        <v>558</v>
      </c>
      <c r="B1" s="1266"/>
      <c r="C1" s="1266"/>
      <c r="D1" s="1266"/>
      <c r="E1" s="1266"/>
      <c r="F1" s="1266"/>
      <c r="G1" s="1266"/>
      <c r="H1" s="1266"/>
      <c r="I1" s="1266"/>
      <c r="J1" s="1266"/>
      <c r="K1" s="1266"/>
      <c r="L1" s="1266"/>
      <c r="M1" s="1266"/>
      <c r="N1" s="1266"/>
      <c r="O1" s="1266"/>
      <c r="P1" s="1266"/>
      <c r="Q1" s="1266"/>
      <c r="R1" s="1266"/>
      <c r="S1" s="1266"/>
      <c r="T1" s="1266"/>
      <c r="U1" s="1266"/>
      <c r="V1" s="1266"/>
      <c r="W1" s="1266"/>
      <c r="X1" s="1266"/>
      <c r="Y1" s="1266"/>
      <c r="Z1" s="1266"/>
      <c r="AA1" s="1266"/>
      <c r="AB1" s="1266"/>
      <c r="AC1" s="1266"/>
      <c r="AD1" s="1266"/>
      <c r="AE1" s="1266"/>
      <c r="AF1" s="1266"/>
      <c r="AG1" s="1266"/>
      <c r="AH1" s="1266"/>
      <c r="AI1" s="1266"/>
      <c r="AJ1" s="1266"/>
      <c r="AK1" s="1266"/>
      <c r="AL1" s="1266"/>
    </row>
    <row r="2" spans="1:38" ht="13.8" thickBot="1">
      <c r="A2" s="1267"/>
      <c r="B2" s="1267"/>
      <c r="C2" s="1267"/>
      <c r="D2" s="1267"/>
      <c r="E2" s="1267"/>
      <c r="F2" s="1267"/>
      <c r="G2" s="1267"/>
      <c r="H2" s="1267"/>
      <c r="I2" s="1267"/>
      <c r="J2" s="1267"/>
      <c r="K2" s="1267"/>
      <c r="L2" s="1267"/>
      <c r="M2" s="1267"/>
      <c r="N2" s="1267"/>
      <c r="O2" s="1267"/>
      <c r="P2" s="1267"/>
      <c r="Q2" s="1267"/>
      <c r="R2" s="1267"/>
      <c r="S2" s="1267"/>
      <c r="T2" s="1267"/>
      <c r="U2" s="1267"/>
      <c r="V2" s="1267"/>
      <c r="W2" s="1267"/>
      <c r="X2" s="1267"/>
      <c r="Y2" s="1267"/>
      <c r="Z2" s="1267"/>
      <c r="AA2" s="1267"/>
      <c r="AB2" s="1267"/>
      <c r="AC2" s="1267"/>
      <c r="AD2" s="1267"/>
      <c r="AE2" s="1267"/>
      <c r="AF2" s="1267"/>
      <c r="AG2" s="1267"/>
      <c r="AH2" s="1267"/>
      <c r="AI2" s="1267"/>
      <c r="AJ2" s="1267"/>
      <c r="AK2" s="1267"/>
      <c r="AL2" s="1267"/>
    </row>
    <row r="3" spans="1:38" ht="13.8"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8" t="s">
        <v>2343</v>
      </c>
      <c r="E7" s="1268"/>
      <c r="F7" s="1268"/>
      <c r="G7" s="1268"/>
      <c r="H7" s="1268"/>
      <c r="I7" s="1268"/>
      <c r="J7" s="1268"/>
      <c r="K7" s="1268"/>
      <c r="L7" s="1268"/>
      <c r="M7" s="1268"/>
      <c r="N7" s="1268"/>
      <c r="O7" s="1268"/>
      <c r="P7" s="1268"/>
      <c r="Q7" s="1268"/>
      <c r="R7" s="1268"/>
      <c r="S7" s="1268"/>
      <c r="T7" s="1268"/>
      <c r="U7" s="1268"/>
      <c r="V7" s="1268"/>
      <c r="W7" s="1268"/>
      <c r="X7" s="1268"/>
      <c r="Y7" s="1268"/>
      <c r="Z7" s="1268"/>
      <c r="AA7" s="1268"/>
      <c r="AB7" s="1268"/>
      <c r="AC7" s="1268"/>
      <c r="AD7" s="1268"/>
      <c r="AE7" s="1268"/>
      <c r="AF7" s="1268"/>
      <c r="AG7" s="1268"/>
      <c r="AH7" s="1268"/>
      <c r="AI7" s="1268"/>
      <c r="AJ7" s="1268"/>
      <c r="AK7" s="1268"/>
      <c r="AL7" s="489"/>
    </row>
    <row r="8" spans="1:38">
      <c r="A8" s="218"/>
      <c r="B8" s="218"/>
      <c r="C8" s="219"/>
      <c r="D8" s="1268"/>
      <c r="E8" s="1268"/>
      <c r="F8" s="1268"/>
      <c r="G8" s="1268"/>
      <c r="H8" s="1268"/>
      <c r="I8" s="1268"/>
      <c r="J8" s="1268"/>
      <c r="K8" s="1268"/>
      <c r="L8" s="1268"/>
      <c r="M8" s="1268"/>
      <c r="N8" s="1268"/>
      <c r="O8" s="1268"/>
      <c r="P8" s="1268"/>
      <c r="Q8" s="1268"/>
      <c r="R8" s="1268"/>
      <c r="S8" s="1268"/>
      <c r="T8" s="1268"/>
      <c r="U8" s="1268"/>
      <c r="V8" s="1268"/>
      <c r="W8" s="1268"/>
      <c r="X8" s="1268"/>
      <c r="Y8" s="1268"/>
      <c r="Z8" s="1268"/>
      <c r="AA8" s="1268"/>
      <c r="AB8" s="1268"/>
      <c r="AC8" s="1268"/>
      <c r="AD8" s="1268"/>
      <c r="AE8" s="1268"/>
      <c r="AF8" s="1268"/>
      <c r="AG8" s="1268"/>
      <c r="AH8" s="1268"/>
      <c r="AI8" s="1268"/>
      <c r="AJ8" s="1268"/>
      <c r="AK8" s="1268"/>
      <c r="AL8" s="489"/>
    </row>
    <row r="9" spans="1:38">
      <c r="A9" s="218"/>
      <c r="B9" s="218"/>
      <c r="C9" s="219"/>
      <c r="D9" s="1268"/>
      <c r="E9" s="1268"/>
      <c r="F9" s="1268"/>
      <c r="G9" s="1268"/>
      <c r="H9" s="1268"/>
      <c r="I9" s="1268"/>
      <c r="J9" s="1268"/>
      <c r="K9" s="1268"/>
      <c r="L9" s="1268"/>
      <c r="M9" s="1268"/>
      <c r="N9" s="1268"/>
      <c r="O9" s="1268"/>
      <c r="P9" s="1268"/>
      <c r="Q9" s="1268"/>
      <c r="R9" s="1268"/>
      <c r="S9" s="1268"/>
      <c r="T9" s="1268"/>
      <c r="U9" s="1268"/>
      <c r="V9" s="1268"/>
      <c r="W9" s="1268"/>
      <c r="X9" s="1268"/>
      <c r="Y9" s="1268"/>
      <c r="Z9" s="1268"/>
      <c r="AA9" s="1268"/>
      <c r="AB9" s="1268"/>
      <c r="AC9" s="1268"/>
      <c r="AD9" s="1268"/>
      <c r="AE9" s="1268"/>
      <c r="AF9" s="1268"/>
      <c r="AG9" s="1268"/>
      <c r="AH9" s="1268"/>
      <c r="AI9" s="1268"/>
      <c r="AJ9" s="1268"/>
      <c r="AK9" s="1268"/>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05" customHeight="1">
      <c r="A11" s="218"/>
      <c r="B11" s="218"/>
      <c r="C11" s="219"/>
      <c r="D11" s="1268" t="s">
        <v>2344</v>
      </c>
      <c r="E11" s="1268"/>
      <c r="F11" s="1268"/>
      <c r="G11" s="1268"/>
      <c r="H11" s="1268"/>
      <c r="I11" s="1268"/>
      <c r="J11" s="1268"/>
      <c r="K11" s="1268"/>
      <c r="L11" s="1268"/>
      <c r="M11" s="1268"/>
      <c r="N11" s="1268"/>
      <c r="O11" s="1268"/>
      <c r="P11" s="1268"/>
      <c r="Q11" s="1268"/>
      <c r="R11" s="1268"/>
      <c r="S11" s="1268"/>
      <c r="T11" s="1268"/>
      <c r="U11" s="1268"/>
      <c r="V11" s="1268"/>
      <c r="W11" s="1268"/>
      <c r="X11" s="1268"/>
      <c r="Y11" s="1268"/>
      <c r="Z11" s="1268"/>
      <c r="AA11" s="1268"/>
      <c r="AB11" s="1268"/>
      <c r="AC11" s="1268"/>
      <c r="AD11" s="1268"/>
      <c r="AE11" s="1268"/>
      <c r="AF11" s="1268"/>
      <c r="AG11" s="1268"/>
      <c r="AH11" s="1268"/>
      <c r="AI11" s="1268"/>
      <c r="AJ11" s="1268"/>
      <c r="AK11" s="1268"/>
      <c r="AL11" s="489"/>
    </row>
    <row r="12" spans="1:38">
      <c r="A12" s="218"/>
      <c r="B12" s="218"/>
      <c r="C12" s="219"/>
      <c r="D12" s="1268"/>
      <c r="E12" s="1268"/>
      <c r="F12" s="1268"/>
      <c r="G12" s="1268"/>
      <c r="H12" s="1268"/>
      <c r="I12" s="1268"/>
      <c r="J12" s="1268"/>
      <c r="K12" s="1268"/>
      <c r="L12" s="1268"/>
      <c r="M12" s="1268"/>
      <c r="N12" s="1268"/>
      <c r="O12" s="1268"/>
      <c r="P12" s="1268"/>
      <c r="Q12" s="1268"/>
      <c r="R12" s="1268"/>
      <c r="S12" s="1268"/>
      <c r="T12" s="1268"/>
      <c r="U12" s="1268"/>
      <c r="V12" s="1268"/>
      <c r="W12" s="1268"/>
      <c r="X12" s="1268"/>
      <c r="Y12" s="1268"/>
      <c r="Z12" s="1268"/>
      <c r="AA12" s="1268"/>
      <c r="AB12" s="1268"/>
      <c r="AC12" s="1268"/>
      <c r="AD12" s="1268"/>
      <c r="AE12" s="1268"/>
      <c r="AF12" s="1268"/>
      <c r="AG12" s="1268"/>
      <c r="AH12" s="1268"/>
      <c r="AI12" s="1268"/>
      <c r="AJ12" s="1268"/>
      <c r="AK12" s="1268"/>
      <c r="AL12" s="489"/>
    </row>
    <row r="13" spans="1:38">
      <c r="A13" s="218"/>
      <c r="B13" s="218"/>
      <c r="C13" s="219"/>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489"/>
    </row>
    <row r="14" spans="1:38" ht="13.2" customHeight="1">
      <c r="A14" s="218"/>
      <c r="B14" s="218"/>
      <c r="C14" s="219"/>
      <c r="E14" s="1268" t="s">
        <v>2571</v>
      </c>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489"/>
    </row>
    <row r="15" spans="1:38" ht="13.2" customHeight="1">
      <c r="A15" s="218"/>
      <c r="B15" s="218"/>
      <c r="C15" s="219"/>
      <c r="E15" s="1268"/>
      <c r="F15" s="1268"/>
      <c r="G15" s="1268"/>
      <c r="H15" s="1268"/>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c r="AK15" s="1268"/>
      <c r="AL15" s="489"/>
    </row>
    <row r="16" spans="1:38">
      <c r="A16" s="218"/>
      <c r="B16" s="218"/>
      <c r="C16" s="219"/>
      <c r="D16" s="489"/>
      <c r="E16" s="1268"/>
      <c r="F16" s="1268"/>
      <c r="G16" s="1268"/>
      <c r="H16" s="1268"/>
      <c r="I16" s="1268"/>
      <c r="J16" s="1268"/>
      <c r="K16" s="1268"/>
      <c r="L16" s="1268"/>
      <c r="M16" s="1268"/>
      <c r="N16" s="1268"/>
      <c r="O16" s="1268"/>
      <c r="P16" s="1268"/>
      <c r="Q16" s="1268"/>
      <c r="R16" s="1268"/>
      <c r="S16" s="1268"/>
      <c r="T16" s="1268"/>
      <c r="U16" s="1268"/>
      <c r="V16" s="1268"/>
      <c r="W16" s="1268"/>
      <c r="X16" s="1268"/>
      <c r="Y16" s="1268"/>
      <c r="Z16" s="1268"/>
      <c r="AA16" s="1268"/>
      <c r="AB16" s="1268"/>
      <c r="AC16" s="1268"/>
      <c r="AD16" s="1268"/>
      <c r="AE16" s="1268"/>
      <c r="AF16" s="1268"/>
      <c r="AG16" s="1268"/>
      <c r="AH16" s="1268"/>
      <c r="AI16" s="1268"/>
      <c r="AJ16" s="1268"/>
      <c r="AK16" s="1268"/>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8" t="s">
        <v>2345</v>
      </c>
      <c r="E18" s="1268"/>
      <c r="F18" s="1268"/>
      <c r="G18" s="1268"/>
      <c r="H18" s="1268"/>
      <c r="I18" s="1268"/>
      <c r="J18" s="1268"/>
      <c r="K18" s="1268"/>
      <c r="L18" s="1268"/>
      <c r="M18" s="1268"/>
      <c r="N18" s="1268"/>
      <c r="O18" s="1268"/>
      <c r="P18" s="1268"/>
      <c r="Q18" s="1268"/>
      <c r="R18" s="1268"/>
      <c r="S18" s="1268"/>
      <c r="T18" s="1268"/>
      <c r="U18" s="1268"/>
      <c r="V18" s="1268"/>
      <c r="W18" s="1268"/>
      <c r="X18" s="1268"/>
      <c r="Y18" s="1268"/>
      <c r="Z18" s="1268"/>
      <c r="AA18" s="1268"/>
      <c r="AB18" s="1268"/>
      <c r="AC18" s="1268"/>
      <c r="AD18" s="1268"/>
      <c r="AE18" s="1268"/>
      <c r="AF18" s="1268"/>
      <c r="AG18" s="1268"/>
      <c r="AH18" s="1268"/>
      <c r="AI18" s="1268"/>
      <c r="AJ18" s="1268"/>
      <c r="AK18" s="1268"/>
      <c r="AL18" s="218"/>
    </row>
    <row r="19" spans="1:38">
      <c r="A19" s="218"/>
      <c r="B19" s="218"/>
      <c r="C19" s="219"/>
      <c r="D19" s="1268"/>
      <c r="E19" s="1268"/>
      <c r="F19" s="1268"/>
      <c r="G19" s="1268"/>
      <c r="H19" s="1268"/>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218"/>
    </row>
    <row r="20" spans="1:38">
      <c r="A20" s="218"/>
      <c r="B20" s="218"/>
      <c r="C20" s="219"/>
      <c r="D20" s="1268"/>
      <c r="E20" s="1268"/>
      <c r="F20" s="1268"/>
      <c r="G20" s="1268"/>
      <c r="H20" s="1268"/>
      <c r="I20" s="1268"/>
      <c r="J20" s="1268"/>
      <c r="K20" s="1268"/>
      <c r="L20" s="1268"/>
      <c r="M20" s="1268"/>
      <c r="N20" s="1268"/>
      <c r="O20" s="1268"/>
      <c r="P20" s="1268"/>
      <c r="Q20" s="1268"/>
      <c r="R20" s="1268"/>
      <c r="S20" s="1268"/>
      <c r="T20" s="1268"/>
      <c r="U20" s="1268"/>
      <c r="V20" s="1268"/>
      <c r="W20" s="1268"/>
      <c r="X20" s="1268"/>
      <c r="Y20" s="1268"/>
      <c r="Z20" s="1268"/>
      <c r="AA20" s="1268"/>
      <c r="AB20" s="1268"/>
      <c r="AC20" s="1268"/>
      <c r="AD20" s="1268"/>
      <c r="AE20" s="1268"/>
      <c r="AF20" s="1268"/>
      <c r="AG20" s="1268"/>
      <c r="AH20" s="1268"/>
      <c r="AI20" s="1268"/>
      <c r="AJ20" s="1268"/>
      <c r="AK20" s="1268"/>
      <c r="AL20" s="218"/>
    </row>
    <row r="21" spans="1:38" ht="13.2" customHeight="1">
      <c r="A21" s="218"/>
      <c r="B21" s="218"/>
      <c r="C21" s="219"/>
      <c r="D21" s="1268"/>
      <c r="E21" s="1268"/>
      <c r="F21" s="1268"/>
      <c r="G21" s="1268"/>
      <c r="H21" s="1268"/>
      <c r="I21" s="1268"/>
      <c r="J21" s="1268"/>
      <c r="K21" s="1268"/>
      <c r="L21" s="1268"/>
      <c r="M21" s="1268"/>
      <c r="N21" s="1268"/>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218"/>
    </row>
    <row r="22" spans="1:38">
      <c r="A22" s="218"/>
      <c r="B22" s="218"/>
      <c r="C22" s="219"/>
      <c r="D22" s="1268"/>
      <c r="E22" s="1268"/>
      <c r="F22" s="1268"/>
      <c r="G22" s="1268"/>
      <c r="H22" s="1268"/>
      <c r="I22" s="1268"/>
      <c r="J22" s="1268"/>
      <c r="K22" s="1268"/>
      <c r="L22" s="1268"/>
      <c r="M22" s="1268"/>
      <c r="N22" s="1268"/>
      <c r="O22" s="1268"/>
      <c r="P22" s="1268"/>
      <c r="Q22" s="1268"/>
      <c r="R22" s="1268"/>
      <c r="S22" s="1268"/>
      <c r="T22" s="1268"/>
      <c r="U22" s="1268"/>
      <c r="V22" s="1268"/>
      <c r="W22" s="1268"/>
      <c r="X22" s="1268"/>
      <c r="Y22" s="1268"/>
      <c r="Z22" s="1268"/>
      <c r="AA22" s="1268"/>
      <c r="AB22" s="1268"/>
      <c r="AC22" s="1268"/>
      <c r="AD22" s="1268"/>
      <c r="AE22" s="1268"/>
      <c r="AF22" s="1268"/>
      <c r="AG22" s="1268"/>
      <c r="AH22" s="1268"/>
      <c r="AI22" s="1268"/>
      <c r="AJ22" s="1268"/>
      <c r="AK22" s="1268"/>
      <c r="AL22" s="218"/>
    </row>
    <row r="23" spans="1:38">
      <c r="A23" s="218"/>
      <c r="B23" s="218"/>
      <c r="C23" s="219"/>
      <c r="D23" s="1268"/>
      <c r="E23" s="1268"/>
      <c r="F23" s="1268"/>
      <c r="G23" s="1268"/>
      <c r="H23" s="1268"/>
      <c r="I23" s="1268"/>
      <c r="J23" s="1268"/>
      <c r="K23" s="1268"/>
      <c r="L23" s="1268"/>
      <c r="M23" s="1268"/>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8"/>
      <c r="AL23" s="218"/>
    </row>
    <row r="24" spans="1:38">
      <c r="A24" s="218"/>
      <c r="B24" s="218"/>
      <c r="C24" s="219"/>
      <c r="D24" s="1268"/>
      <c r="E24" s="1268"/>
      <c r="F24" s="1268"/>
      <c r="G24" s="1268"/>
      <c r="H24" s="1268"/>
      <c r="I24" s="1268"/>
      <c r="J24" s="1268"/>
      <c r="K24" s="1268"/>
      <c r="L24" s="1268"/>
      <c r="M24" s="1268"/>
      <c r="N24" s="1268"/>
      <c r="O24" s="1268"/>
      <c r="P24" s="1268"/>
      <c r="Q24" s="1268"/>
      <c r="R24" s="1268"/>
      <c r="S24" s="1268"/>
      <c r="T24" s="1268"/>
      <c r="U24" s="1268"/>
      <c r="V24" s="1268"/>
      <c r="W24" s="1268"/>
      <c r="X24" s="1268"/>
      <c r="Y24" s="1268"/>
      <c r="Z24" s="1268"/>
      <c r="AA24" s="1268"/>
      <c r="AB24" s="1268"/>
      <c r="AC24" s="1268"/>
      <c r="AD24" s="1268"/>
      <c r="AE24" s="1268"/>
      <c r="AF24" s="1268"/>
      <c r="AG24" s="1268"/>
      <c r="AH24" s="1268"/>
      <c r="AI24" s="1268"/>
      <c r="AJ24" s="1268"/>
      <c r="AK24" s="1268"/>
      <c r="AL24" s="218"/>
    </row>
    <row r="25" spans="1:38">
      <c r="A25" s="218"/>
      <c r="B25" s="218"/>
      <c r="C25" s="219"/>
      <c r="D25" s="1268"/>
      <c r="E25" s="1268"/>
      <c r="F25" s="1268"/>
      <c r="G25" s="1268"/>
      <c r="H25" s="1268"/>
      <c r="I25" s="1268"/>
      <c r="J25" s="1268"/>
      <c r="K25" s="1268"/>
      <c r="L25" s="1268"/>
      <c r="M25" s="1268"/>
      <c r="N25" s="1268"/>
      <c r="O25" s="1268"/>
      <c r="P25" s="1268"/>
      <c r="Q25" s="1268"/>
      <c r="R25" s="1268"/>
      <c r="S25" s="1268"/>
      <c r="T25" s="1268"/>
      <c r="U25" s="1268"/>
      <c r="V25" s="1268"/>
      <c r="W25" s="1268"/>
      <c r="X25" s="1268"/>
      <c r="Y25" s="1268"/>
      <c r="Z25" s="1268"/>
      <c r="AA25" s="1268"/>
      <c r="AB25" s="1268"/>
      <c r="AC25" s="1268"/>
      <c r="AD25" s="1268"/>
      <c r="AE25" s="1268"/>
      <c r="AF25" s="1268"/>
      <c r="AG25" s="1268"/>
      <c r="AH25" s="1268"/>
      <c r="AI25" s="1268"/>
      <c r="AJ25" s="1268"/>
      <c r="AK25" s="1268"/>
      <c r="AL25" s="218"/>
    </row>
    <row r="26" spans="1:38">
      <c r="A26" s="218"/>
      <c r="B26" s="218"/>
      <c r="C26" s="219"/>
      <c r="D26" s="1268"/>
      <c r="E26" s="1268"/>
      <c r="F26" s="1268"/>
      <c r="G26" s="1268"/>
      <c r="H26" s="1268"/>
      <c r="I26" s="1268"/>
      <c r="J26" s="1268"/>
      <c r="K26" s="1268"/>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218"/>
    </row>
    <row r="27" spans="1:38" ht="11.7" customHeight="1">
      <c r="A27" s="218"/>
      <c r="B27" s="218"/>
      <c r="C27" s="219"/>
      <c r="D27" s="1268"/>
      <c r="E27" s="1268"/>
      <c r="F27" s="1268"/>
      <c r="G27" s="1268"/>
      <c r="H27" s="1268"/>
      <c r="I27" s="1268"/>
      <c r="J27" s="1268"/>
      <c r="K27" s="1268"/>
      <c r="L27" s="1268"/>
      <c r="M27" s="1268"/>
      <c r="N27" s="1268"/>
      <c r="O27" s="1268"/>
      <c r="P27" s="1268"/>
      <c r="Q27" s="1268"/>
      <c r="R27" s="1268"/>
      <c r="S27" s="1268"/>
      <c r="T27" s="1268"/>
      <c r="U27" s="1268"/>
      <c r="V27" s="1268"/>
      <c r="W27" s="1268"/>
      <c r="X27" s="1268"/>
      <c r="Y27" s="1268"/>
      <c r="Z27" s="1268"/>
      <c r="AA27" s="1268"/>
      <c r="AB27" s="1268"/>
      <c r="AC27" s="1268"/>
      <c r="AD27" s="1268"/>
      <c r="AE27" s="1268"/>
      <c r="AF27" s="1268"/>
      <c r="AG27" s="1268"/>
      <c r="AH27" s="1268"/>
      <c r="AI27" s="1268"/>
      <c r="AJ27" s="1268"/>
      <c r="AK27" s="1268"/>
      <c r="AL27" s="218"/>
    </row>
    <row r="28" spans="1:38" ht="13.2" hidden="1" customHeight="1">
      <c r="A28" s="218"/>
      <c r="B28" s="218"/>
      <c r="C28" s="219"/>
      <c r="E28" s="1268" t="s">
        <v>2500</v>
      </c>
      <c r="F28" s="1268"/>
      <c r="G28" s="1268"/>
      <c r="H28" s="1268"/>
      <c r="I28" s="1268"/>
      <c r="J28" s="1268"/>
      <c r="K28" s="1268"/>
      <c r="L28" s="1268"/>
      <c r="M28" s="1268"/>
      <c r="N28" s="1268"/>
      <c r="O28" s="1268"/>
      <c r="P28" s="1268"/>
      <c r="Q28" s="1268"/>
      <c r="R28" s="1268"/>
      <c r="S28" s="1268"/>
      <c r="T28" s="1268"/>
      <c r="U28" s="1268"/>
      <c r="V28" s="1268"/>
      <c r="W28" s="1268"/>
      <c r="X28" s="1268"/>
      <c r="Y28" s="1268"/>
      <c r="Z28" s="1268"/>
      <c r="AA28" s="1268"/>
      <c r="AB28" s="1268"/>
      <c r="AC28" s="1268"/>
      <c r="AD28" s="1268"/>
      <c r="AE28" s="1268"/>
      <c r="AF28" s="1268"/>
      <c r="AG28" s="1268"/>
      <c r="AH28" s="1268"/>
      <c r="AI28" s="1268"/>
      <c r="AJ28" s="1268"/>
      <c r="AK28" s="1268"/>
      <c r="AL28" s="218"/>
    </row>
    <row r="29" spans="1:38" ht="13.2" hidden="1" customHeight="1">
      <c r="A29" s="218"/>
      <c r="B29" s="218"/>
      <c r="C29" s="219"/>
      <c r="E29" s="1268"/>
      <c r="F29" s="1268"/>
      <c r="G29" s="1268"/>
      <c r="H29" s="1268"/>
      <c r="I29" s="1268"/>
      <c r="J29" s="1268"/>
      <c r="K29" s="1268"/>
      <c r="L29" s="1268"/>
      <c r="M29" s="1268"/>
      <c r="N29" s="1268"/>
      <c r="O29" s="1268"/>
      <c r="P29" s="1268"/>
      <c r="Q29" s="1268"/>
      <c r="R29" s="1268"/>
      <c r="S29" s="1268"/>
      <c r="T29" s="1268"/>
      <c r="U29" s="1268"/>
      <c r="V29" s="1268"/>
      <c r="W29" s="1268"/>
      <c r="X29" s="1268"/>
      <c r="Y29" s="1268"/>
      <c r="Z29" s="1268"/>
      <c r="AA29" s="1268"/>
      <c r="AB29" s="1268"/>
      <c r="AC29" s="1268"/>
      <c r="AD29" s="1268"/>
      <c r="AE29" s="1268"/>
      <c r="AF29" s="1268"/>
      <c r="AG29" s="1268"/>
      <c r="AH29" s="1268"/>
      <c r="AI29" s="1268"/>
      <c r="AJ29" s="1268"/>
      <c r="AK29" s="1268"/>
      <c r="AL29" s="218"/>
    </row>
    <row r="30" spans="1:38" hidden="1">
      <c r="A30" s="218"/>
      <c r="B30" s="218"/>
      <c r="C30" s="219"/>
      <c r="D30" s="489"/>
      <c r="E30" s="1268"/>
      <c r="F30" s="1268"/>
      <c r="G30" s="1268"/>
      <c r="H30" s="1268"/>
      <c r="I30" s="1268"/>
      <c r="J30" s="1268"/>
      <c r="K30" s="1268"/>
      <c r="L30" s="1268"/>
      <c r="M30" s="1268"/>
      <c r="N30" s="1268"/>
      <c r="O30" s="1268"/>
      <c r="P30" s="1268"/>
      <c r="Q30" s="1268"/>
      <c r="R30" s="1268"/>
      <c r="S30" s="1268"/>
      <c r="T30" s="1268"/>
      <c r="U30" s="1268"/>
      <c r="V30" s="1268"/>
      <c r="W30" s="1268"/>
      <c r="X30" s="1268"/>
      <c r="Y30" s="1268"/>
      <c r="Z30" s="1268"/>
      <c r="AA30" s="1268"/>
      <c r="AB30" s="1268"/>
      <c r="AC30" s="1268"/>
      <c r="AD30" s="1268"/>
      <c r="AE30" s="1268"/>
      <c r="AF30" s="1268"/>
      <c r="AG30" s="1268"/>
      <c r="AH30" s="1268"/>
      <c r="AI30" s="1268"/>
      <c r="AJ30" s="1268"/>
      <c r="AK30" s="1268"/>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8" t="s">
        <v>2346</v>
      </c>
      <c r="E32" s="1268"/>
      <c r="F32" s="1268"/>
      <c r="G32" s="1268"/>
      <c r="H32" s="1268"/>
      <c r="I32" s="1268"/>
      <c r="J32" s="1268"/>
      <c r="K32" s="1268"/>
      <c r="L32" s="1268"/>
      <c r="M32" s="1268"/>
      <c r="N32" s="1268"/>
      <c r="O32" s="1268"/>
      <c r="P32" s="1268"/>
      <c r="Q32" s="1268"/>
      <c r="R32" s="1268"/>
      <c r="S32" s="1268"/>
      <c r="T32" s="1268"/>
      <c r="U32" s="1268"/>
      <c r="V32" s="1268"/>
      <c r="W32" s="1268"/>
      <c r="X32" s="1268"/>
      <c r="Y32" s="1268"/>
      <c r="Z32" s="1268"/>
      <c r="AA32" s="1268"/>
      <c r="AB32" s="1268"/>
      <c r="AC32" s="1268"/>
      <c r="AD32" s="1268"/>
      <c r="AE32" s="1268"/>
      <c r="AF32" s="1268"/>
      <c r="AG32" s="1268"/>
      <c r="AH32" s="1268"/>
      <c r="AI32" s="1268"/>
      <c r="AJ32" s="1268"/>
      <c r="AK32" s="1268"/>
      <c r="AL32" s="218"/>
    </row>
    <row r="33" spans="1:38">
      <c r="A33" s="218"/>
      <c r="B33" s="218"/>
      <c r="C33" s="219"/>
      <c r="D33" s="489"/>
      <c r="E33" s="1275" t="s">
        <v>2577</v>
      </c>
      <c r="F33" s="1276"/>
      <c r="G33" s="1276"/>
      <c r="H33" s="1276"/>
      <c r="I33" s="1276"/>
      <c r="J33" s="1276"/>
      <c r="K33" s="1276"/>
      <c r="L33" s="1276"/>
      <c r="M33" s="1276"/>
      <c r="N33" s="1276"/>
      <c r="O33" s="1276"/>
      <c r="P33" s="1276"/>
      <c r="Q33" s="1276"/>
      <c r="R33" s="1276"/>
      <c r="S33" s="1276"/>
      <c r="T33" s="1276"/>
      <c r="U33" s="1276"/>
      <c r="V33" s="1276"/>
      <c r="W33" s="1276"/>
      <c r="X33" s="1276"/>
      <c r="Y33" s="1276"/>
      <c r="Z33" s="1276"/>
      <c r="AA33" s="1276"/>
      <c r="AB33" s="1276"/>
      <c r="AC33" s="1276"/>
      <c r="AD33" s="1276"/>
      <c r="AE33" s="1276"/>
      <c r="AF33" s="1276"/>
      <c r="AG33" s="1276"/>
      <c r="AH33" s="1276"/>
      <c r="AI33" s="1276"/>
      <c r="AJ33" s="1276"/>
      <c r="AK33" s="1276"/>
      <c r="AL33" s="218"/>
    </row>
    <row r="34" spans="1:38">
      <c r="A34" s="4"/>
      <c r="C34" s="2"/>
    </row>
    <row r="35" spans="1:38">
      <c r="A35" s="4"/>
      <c r="D35" s="1269" t="s">
        <v>2495</v>
      </c>
      <c r="E35" s="1269"/>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69"/>
      <c r="E36" s="1269"/>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D37" s="120"/>
      <c r="E37" s="1274" t="s">
        <v>2353</v>
      </c>
      <c r="F37" s="1274"/>
      <c r="G37" s="1274"/>
      <c r="H37" s="1274"/>
      <c r="I37" s="1274"/>
      <c r="J37" s="1274"/>
      <c r="K37" s="1274"/>
      <c r="L37" s="1274"/>
      <c r="M37" s="1274"/>
      <c r="N37" s="1274"/>
      <c r="O37" s="1274"/>
      <c r="P37" s="1274"/>
      <c r="Q37" s="1274"/>
      <c r="R37" s="1274"/>
      <c r="S37" s="1274"/>
      <c r="T37" s="1274"/>
      <c r="U37" s="1274"/>
      <c r="V37" s="1274"/>
      <c r="W37" s="1274"/>
      <c r="X37" s="1274"/>
      <c r="Y37" s="1274"/>
      <c r="Z37" s="1274"/>
      <c r="AA37" s="1274"/>
      <c r="AB37" s="1274"/>
      <c r="AC37" s="1274"/>
      <c r="AD37" s="1274"/>
      <c r="AE37" s="1274"/>
      <c r="AF37" s="1274"/>
      <c r="AG37" s="1274"/>
      <c r="AH37" s="1274"/>
      <c r="AI37" s="1274"/>
      <c r="AJ37" s="1274"/>
      <c r="AK37" s="1274"/>
    </row>
    <row r="38" spans="1:38">
      <c r="A38" s="4"/>
      <c r="D38" s="120"/>
      <c r="E38" s="1274" t="s">
        <v>2354</v>
      </c>
      <c r="F38" s="1274"/>
      <c r="G38" s="1274"/>
      <c r="H38" s="1274"/>
      <c r="I38" s="1274"/>
      <c r="J38" s="1274"/>
      <c r="K38" s="1274"/>
      <c r="L38" s="1274"/>
      <c r="M38" s="1274"/>
      <c r="N38" s="1274"/>
      <c r="O38" s="1274"/>
      <c r="P38" s="1274"/>
      <c r="Q38" s="1274"/>
      <c r="R38" s="1274"/>
      <c r="S38" s="1274"/>
      <c r="T38" s="1274"/>
      <c r="U38" s="1274"/>
      <c r="V38" s="1274"/>
      <c r="W38" s="1274"/>
      <c r="X38" s="1274"/>
      <c r="Y38" s="1274"/>
      <c r="Z38" s="1274"/>
      <c r="AA38" s="1274"/>
      <c r="AB38" s="1274"/>
      <c r="AC38" s="1274"/>
      <c r="AD38" s="1274"/>
      <c r="AE38" s="1274"/>
      <c r="AF38" s="1274"/>
      <c r="AG38" s="1274"/>
      <c r="AH38" s="1274"/>
      <c r="AI38" s="1274"/>
      <c r="AJ38" s="1274"/>
      <c r="AK38" s="1274"/>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8" customFormat="1" ht="13.2" customHeight="1">
      <c r="A42" s="4"/>
      <c r="B42"/>
      <c r="C42" s="2"/>
      <c r="D42" s="4"/>
      <c r="E42" s="4" t="s">
        <v>660</v>
      </c>
      <c r="F42" s="1268" t="s">
        <v>1269</v>
      </c>
    </row>
    <row r="43" spans="1:38" s="1268" customFormat="1" ht="13.2" customHeight="1">
      <c r="A43" s="4"/>
      <c r="B43"/>
      <c r="C43" s="2"/>
      <c r="D43" s="4"/>
      <c r="E43" s="4"/>
    </row>
    <row r="44" spans="1:38">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349</v>
      </c>
      <c r="F45" s="1272" t="s">
        <v>1353</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2"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c r="A48" s="4"/>
      <c r="C48" s="2"/>
      <c r="D48" s="4"/>
      <c r="E48" s="4"/>
      <c r="F48" s="118" t="s">
        <v>695</v>
      </c>
      <c r="G48" s="3" t="s">
        <v>2347</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8" t="s">
        <v>2348</v>
      </c>
      <c r="G50" s="1268"/>
      <c r="H50" s="1268"/>
      <c r="I50" s="1268"/>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8"/>
      <c r="AI50" s="1268"/>
      <c r="AJ50" s="1268"/>
      <c r="AK50" s="1268"/>
    </row>
    <row r="51" spans="1:38">
      <c r="A51" s="4"/>
      <c r="C51" s="2"/>
      <c r="D51" s="4"/>
      <c r="E51" s="4"/>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row>
    <row r="52" spans="1:38">
      <c r="A52" s="4"/>
      <c r="C52" s="2"/>
      <c r="D52" s="4"/>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695</v>
      </c>
      <c r="G56" s="1270" t="s">
        <v>1296</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2"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0" t="s">
        <v>583</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517</v>
      </c>
      <c r="G59" s="1270" t="s">
        <v>2349</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8" t="s">
        <v>1271</v>
      </c>
      <c r="H66" s="1268"/>
      <c r="I66" s="1268"/>
      <c r="J66" s="1268"/>
      <c r="K66" s="1268"/>
      <c r="L66" s="1268"/>
      <c r="M66" s="1268"/>
      <c r="N66" s="1268"/>
      <c r="O66" s="1268"/>
      <c r="P66" s="1268"/>
      <c r="Q66" s="1268"/>
      <c r="R66" s="1268"/>
      <c r="S66" s="1268"/>
      <c r="T66" s="1268"/>
      <c r="U66" s="1268"/>
      <c r="V66" s="1268"/>
      <c r="W66" s="1268"/>
      <c r="X66" s="1268"/>
      <c r="Y66" s="1268"/>
      <c r="Z66" s="1268"/>
      <c r="AA66" s="1268"/>
      <c r="AB66" s="1268"/>
      <c r="AC66" s="1268"/>
      <c r="AD66" s="1268"/>
      <c r="AE66" s="1268"/>
      <c r="AF66" s="1268"/>
      <c r="AG66" s="1268"/>
      <c r="AH66" s="1268"/>
      <c r="AI66" s="1268"/>
      <c r="AJ66" s="1268"/>
      <c r="AK66" s="1268"/>
    </row>
    <row r="67" spans="1:37">
      <c r="A67" s="4"/>
      <c r="C67" s="2"/>
      <c r="D67" s="4"/>
      <c r="E67" s="4"/>
      <c r="G67" s="1268"/>
      <c r="H67" s="1268"/>
      <c r="I67" s="1268"/>
      <c r="J67" s="1268"/>
      <c r="K67" s="1268"/>
      <c r="L67" s="1268"/>
      <c r="M67" s="1268"/>
      <c r="N67" s="1268"/>
      <c r="O67" s="1268"/>
      <c r="P67" s="1268"/>
      <c r="Q67" s="1268"/>
      <c r="R67" s="1268"/>
      <c r="S67" s="1268"/>
      <c r="T67" s="1268"/>
      <c r="U67" s="1268"/>
      <c r="V67" s="1268"/>
      <c r="W67" s="1268"/>
      <c r="X67" s="1268"/>
      <c r="Y67" s="1268"/>
      <c r="Z67" s="1268"/>
      <c r="AA67" s="1268"/>
      <c r="AB67" s="1268"/>
      <c r="AC67" s="1268"/>
      <c r="AD67" s="1268"/>
      <c r="AE67" s="1268"/>
      <c r="AF67" s="1268"/>
      <c r="AG67" s="1268"/>
      <c r="AH67" s="1268"/>
      <c r="AI67" s="1268"/>
      <c r="AJ67" s="1268"/>
      <c r="AK67" s="1268"/>
    </row>
    <row r="68" spans="1:37">
      <c r="A68" s="4"/>
      <c r="C68" s="2"/>
      <c r="D68" s="4"/>
      <c r="E68" s="4"/>
      <c r="G68" s="1268"/>
      <c r="H68" s="1268"/>
      <c r="I68" s="1268"/>
      <c r="J68" s="1268"/>
      <c r="K68" s="1268"/>
      <c r="L68" s="1268"/>
      <c r="M68" s="1268"/>
      <c r="N68" s="1268"/>
      <c r="O68" s="1268"/>
      <c r="P68" s="1268"/>
      <c r="Q68" s="1268"/>
      <c r="R68" s="1268"/>
      <c r="S68" s="1268"/>
      <c r="T68" s="1268"/>
      <c r="U68" s="1268"/>
      <c r="V68" s="1268"/>
      <c r="W68" s="1268"/>
      <c r="X68" s="1268"/>
      <c r="Y68" s="1268"/>
      <c r="Z68" s="1268"/>
      <c r="AA68" s="1268"/>
      <c r="AB68" s="1268"/>
      <c r="AC68" s="1268"/>
      <c r="AD68" s="1268"/>
      <c r="AE68" s="1268"/>
      <c r="AF68" s="1268"/>
      <c r="AG68" s="1268"/>
      <c r="AH68" s="1268"/>
      <c r="AI68" s="1268"/>
      <c r="AJ68" s="1268"/>
      <c r="AK68" s="1268"/>
    </row>
    <row r="69" spans="1:37" ht="13.2" customHeight="1">
      <c r="A69" s="4"/>
      <c r="C69" s="2"/>
      <c r="D69" s="4"/>
      <c r="E69" s="4"/>
      <c r="F69" t="s">
        <v>517</v>
      </c>
      <c r="G69" s="1268" t="s">
        <v>1272</v>
      </c>
      <c r="H69" s="1268"/>
      <c r="I69" s="1268"/>
      <c r="J69" s="1268"/>
      <c r="K69" s="1268"/>
      <c r="L69" s="1268"/>
      <c r="M69" s="1268"/>
      <c r="N69" s="1268"/>
      <c r="O69" s="1268"/>
      <c r="P69" s="1268"/>
      <c r="Q69" s="1268"/>
      <c r="R69" s="1268"/>
      <c r="S69" s="1268"/>
      <c r="T69" s="1268"/>
      <c r="U69" s="1268"/>
      <c r="V69" s="1268"/>
      <c r="W69" s="1268"/>
      <c r="X69" s="1268"/>
      <c r="Y69" s="1268"/>
      <c r="Z69" s="1268"/>
      <c r="AA69" s="1268"/>
      <c r="AB69" s="1268"/>
      <c r="AC69" s="1268"/>
      <c r="AD69" s="1268"/>
      <c r="AE69" s="1268"/>
      <c r="AF69" s="1268"/>
      <c r="AG69" s="1268"/>
      <c r="AH69" s="1268"/>
      <c r="AI69" s="1268"/>
      <c r="AJ69" s="1268"/>
      <c r="AK69" s="1268"/>
    </row>
    <row r="70" spans="1:37">
      <c r="A70" s="4"/>
      <c r="C70" s="2"/>
      <c r="D70" s="4"/>
      <c r="E70" s="4"/>
      <c r="F70" s="27"/>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68"/>
      <c r="AF70" s="1268"/>
      <c r="AG70" s="1268"/>
      <c r="AH70" s="1268"/>
      <c r="AI70" s="1268"/>
      <c r="AJ70" s="1268"/>
      <c r="AK70" s="1268"/>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8" t="s">
        <v>1273</v>
      </c>
      <c r="H72" s="1268"/>
      <c r="I72" s="1268"/>
      <c r="J72" s="1268"/>
      <c r="K72" s="1268"/>
      <c r="L72" s="1268"/>
      <c r="M72" s="1268"/>
      <c r="N72" s="1268"/>
      <c r="O72" s="1268"/>
      <c r="P72" s="1268"/>
      <c r="Q72" s="1268"/>
      <c r="R72" s="1268"/>
      <c r="S72" s="1268"/>
      <c r="T72" s="1268"/>
      <c r="U72" s="1268"/>
      <c r="V72" s="1268"/>
      <c r="W72" s="1268"/>
      <c r="X72" s="1268"/>
      <c r="Y72" s="1268"/>
      <c r="Z72" s="1268"/>
      <c r="AA72" s="1268"/>
      <c r="AB72" s="1268"/>
      <c r="AC72" s="1268"/>
      <c r="AD72" s="1268"/>
      <c r="AE72" s="1268"/>
      <c r="AF72" s="1268"/>
      <c r="AG72" s="1268"/>
      <c r="AH72" s="1268"/>
      <c r="AI72" s="1268"/>
      <c r="AJ72" s="1268"/>
      <c r="AK72" s="1268"/>
    </row>
    <row r="73" spans="1:37">
      <c r="A73" s="4"/>
      <c r="C73" s="2"/>
      <c r="D73" s="4"/>
      <c r="E73" s="4"/>
      <c r="F73" s="8"/>
      <c r="G73" s="1268"/>
      <c r="H73" s="1268"/>
      <c r="I73" s="1268"/>
      <c r="J73" s="1268"/>
      <c r="K73" s="1268"/>
      <c r="L73" s="1268"/>
      <c r="M73" s="1268"/>
      <c r="N73" s="1268"/>
      <c r="O73" s="1268"/>
      <c r="P73" s="1268"/>
      <c r="Q73" s="1268"/>
      <c r="R73" s="1268"/>
      <c r="S73" s="1268"/>
      <c r="T73" s="1268"/>
      <c r="U73" s="1268"/>
      <c r="V73" s="1268"/>
      <c r="W73" s="1268"/>
      <c r="X73" s="1268"/>
      <c r="Y73" s="1268"/>
      <c r="Z73" s="1268"/>
      <c r="AA73" s="1268"/>
      <c r="AB73" s="1268"/>
      <c r="AC73" s="1268"/>
      <c r="AD73" s="1268"/>
      <c r="AE73" s="1268"/>
      <c r="AF73" s="1268"/>
      <c r="AG73" s="1268"/>
      <c r="AH73" s="1268"/>
      <c r="AI73" s="1268"/>
      <c r="AJ73" s="1268"/>
      <c r="AK73" s="1268"/>
    </row>
    <row r="74" spans="1:37">
      <c r="A74" s="4"/>
      <c r="C74" s="2"/>
      <c r="D74" s="4"/>
      <c r="E74" s="4"/>
      <c r="F74" s="8" t="s">
        <v>517</v>
      </c>
      <c r="G74" s="1268" t="s">
        <v>1274</v>
      </c>
      <c r="H74" s="1268"/>
      <c r="I74" s="1268"/>
      <c r="J74" s="1268"/>
      <c r="K74" s="1268"/>
      <c r="L74" s="1268"/>
      <c r="M74" s="1268"/>
      <c r="N74" s="1268"/>
      <c r="O74" s="1268"/>
      <c r="P74" s="1268"/>
      <c r="Q74" s="1268"/>
      <c r="R74" s="1268"/>
      <c r="S74" s="1268"/>
      <c r="T74" s="1268"/>
      <c r="U74" s="1268"/>
      <c r="V74" s="1268"/>
      <c r="W74" s="1268"/>
      <c r="X74" s="1268"/>
      <c r="Y74" s="1268"/>
      <c r="Z74" s="1268"/>
      <c r="AA74" s="1268"/>
      <c r="AB74" s="1268"/>
      <c r="AC74" s="1268"/>
      <c r="AD74" s="1268"/>
      <c r="AE74" s="1268"/>
      <c r="AF74" s="1268"/>
      <c r="AG74" s="1268"/>
      <c r="AH74" s="1268"/>
      <c r="AI74" s="1268"/>
      <c r="AJ74" s="1268"/>
      <c r="AK74" s="1268"/>
    </row>
    <row r="75" spans="1:37">
      <c r="A75" s="4"/>
      <c r="C75" s="2"/>
      <c r="D75" s="4"/>
      <c r="E75" s="4"/>
      <c r="F75" s="8"/>
      <c r="G75" s="1268"/>
      <c r="H75" s="1268"/>
      <c r="I75" s="1268"/>
      <c r="J75" s="1268"/>
      <c r="K75" s="1268"/>
      <c r="L75" s="1268"/>
      <c r="M75" s="1268"/>
      <c r="N75" s="1268"/>
      <c r="O75" s="1268"/>
      <c r="P75" s="1268"/>
      <c r="Q75" s="1268"/>
      <c r="R75" s="1268"/>
      <c r="S75" s="1268"/>
      <c r="T75" s="1268"/>
      <c r="U75" s="1268"/>
      <c r="V75" s="1268"/>
      <c r="W75" s="1268"/>
      <c r="X75" s="1268"/>
      <c r="Y75" s="1268"/>
      <c r="Z75" s="1268"/>
      <c r="AA75" s="1268"/>
      <c r="AB75" s="1268"/>
      <c r="AC75" s="1268"/>
      <c r="AD75" s="1268"/>
      <c r="AE75" s="1268"/>
      <c r="AF75" s="1268"/>
      <c r="AG75" s="1268"/>
      <c r="AH75" s="1268"/>
      <c r="AI75" s="1268"/>
      <c r="AJ75" s="1268"/>
      <c r="AK75" s="1268"/>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8" t="s">
        <v>1275</v>
      </c>
      <c r="H82" s="1268"/>
      <c r="I82" s="1268"/>
      <c r="J82" s="1268"/>
      <c r="K82" s="1268"/>
      <c r="L82" s="1268"/>
      <c r="M82" s="1268"/>
      <c r="N82" s="1268"/>
      <c r="O82" s="1268"/>
      <c r="P82" s="1268"/>
      <c r="Q82" s="1268"/>
      <c r="R82" s="1268"/>
      <c r="S82" s="1268"/>
      <c r="T82" s="1268"/>
      <c r="U82" s="1268"/>
      <c r="V82" s="1268"/>
      <c r="W82" s="1268"/>
      <c r="X82" s="1268"/>
      <c r="Y82" s="1268"/>
      <c r="Z82" s="1268"/>
      <c r="AA82" s="1268"/>
      <c r="AB82" s="1268"/>
      <c r="AC82" s="1268"/>
      <c r="AD82" s="1268"/>
      <c r="AE82" s="1268"/>
      <c r="AF82" s="1268"/>
      <c r="AG82" s="1268"/>
      <c r="AH82" s="1268"/>
      <c r="AI82" s="1268"/>
      <c r="AJ82" s="1268"/>
      <c r="AK82" s="1268"/>
    </row>
    <row r="83" spans="1:37">
      <c r="A83" s="4"/>
      <c r="C83" s="2"/>
      <c r="D83" s="4"/>
      <c r="E83" s="4"/>
      <c r="F83" s="4"/>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row>
    <row r="84" spans="1:37">
      <c r="A84" s="4"/>
      <c r="C84" s="2"/>
      <c r="D84" s="4"/>
      <c r="E84" s="4"/>
      <c r="F84" s="4"/>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8" t="s">
        <v>1276</v>
      </c>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row>
    <row r="87" spans="1:37">
      <c r="A87" s="4"/>
      <c r="C87" s="2"/>
      <c r="D87" s="4"/>
      <c r="E87" s="4"/>
      <c r="F87" s="4"/>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row>
    <row r="88" spans="1:37">
      <c r="A88" s="4"/>
      <c r="C88" s="2"/>
      <c r="D88" s="4"/>
      <c r="E88" s="4"/>
      <c r="G88" s="1268"/>
      <c r="H88" s="1268"/>
      <c r="I88" s="1268"/>
      <c r="J88" s="1268"/>
      <c r="K88" s="1268"/>
      <c r="L88" s="1268"/>
      <c r="M88" s="1268"/>
      <c r="N88" s="1268"/>
      <c r="O88" s="1268"/>
      <c r="P88" s="1268"/>
      <c r="Q88" s="1268"/>
      <c r="R88" s="1268"/>
      <c r="S88" s="1268"/>
      <c r="T88" s="1268"/>
      <c r="U88" s="1268"/>
      <c r="V88" s="1268"/>
      <c r="W88" s="1268"/>
      <c r="X88" s="1268"/>
      <c r="Y88" s="1268"/>
      <c r="Z88" s="1268"/>
      <c r="AA88" s="1268"/>
      <c r="AB88" s="1268"/>
      <c r="AC88" s="1268"/>
      <c r="AD88" s="1268"/>
      <c r="AE88" s="1268"/>
      <c r="AF88" s="1268"/>
      <c r="AG88" s="1268"/>
      <c r="AH88" s="1268"/>
      <c r="AI88" s="1268"/>
      <c r="AJ88" s="1268"/>
      <c r="AK88" s="1268"/>
    </row>
    <row r="89" spans="1:37">
      <c r="A89" s="4"/>
      <c r="C89" s="2"/>
      <c r="D89" s="4"/>
      <c r="E89" s="4" t="s">
        <v>263</v>
      </c>
      <c r="F89" t="s">
        <v>876</v>
      </c>
      <c r="G89" s="4"/>
      <c r="L89" s="4"/>
      <c r="M89" s="4"/>
      <c r="P89" s="4"/>
      <c r="Q89" s="4"/>
      <c r="R89" s="4"/>
      <c r="S89" s="4"/>
      <c r="T89" s="4"/>
      <c r="U89" s="4"/>
      <c r="V89" s="4"/>
      <c r="W89" s="4"/>
      <c r="X89" s="4"/>
      <c r="Y89" s="4"/>
      <c r="Z89" s="4"/>
      <c r="AA89" s="4"/>
      <c r="AB89" s="4"/>
    </row>
    <row r="90" spans="1:37">
      <c r="A90" s="4"/>
      <c r="C90" s="2"/>
      <c r="D90" s="4"/>
      <c r="E90" s="4"/>
      <c r="G90" s="1277" t="s">
        <v>1277</v>
      </c>
      <c r="H90" s="1277"/>
      <c r="I90" s="1277"/>
      <c r="J90" s="1277"/>
      <c r="K90" s="1277"/>
      <c r="L90" s="1277"/>
      <c r="M90" s="1277"/>
      <c r="N90" s="1277"/>
      <c r="O90" s="1277"/>
      <c r="P90" s="1277"/>
      <c r="Q90" s="1277"/>
      <c r="R90" s="1277"/>
      <c r="S90" s="1277"/>
      <c r="T90" s="1277"/>
      <c r="U90" s="1277"/>
      <c r="V90" s="1277"/>
      <c r="W90" s="1277"/>
      <c r="X90" s="1277"/>
      <c r="Y90" s="1277"/>
      <c r="Z90" s="1277"/>
      <c r="AA90" s="1277"/>
      <c r="AB90" s="1277"/>
      <c r="AC90" s="1277"/>
      <c r="AD90" s="1277"/>
      <c r="AE90" s="1277"/>
      <c r="AF90" s="1277"/>
      <c r="AG90" s="1277"/>
      <c r="AH90" s="1277"/>
      <c r="AI90" s="1277"/>
      <c r="AJ90" s="1277"/>
      <c r="AK90" s="1277"/>
    </row>
    <row r="91" spans="1:37">
      <c r="A91" s="4"/>
      <c r="C91" s="2"/>
      <c r="D91" s="4"/>
      <c r="E91" s="4"/>
      <c r="G91" s="1277"/>
      <c r="H91" s="1277"/>
      <c r="I91" s="1277"/>
      <c r="J91" s="1277"/>
      <c r="K91" s="1277"/>
      <c r="L91" s="1277"/>
      <c r="M91" s="1277"/>
      <c r="N91" s="1277"/>
      <c r="O91" s="1277"/>
      <c r="P91" s="1277"/>
      <c r="Q91" s="1277"/>
      <c r="R91" s="1277"/>
      <c r="S91" s="1277"/>
      <c r="T91" s="1277"/>
      <c r="U91" s="1277"/>
      <c r="V91" s="1277"/>
      <c r="W91" s="1277"/>
      <c r="X91" s="1277"/>
      <c r="Y91" s="1277"/>
      <c r="Z91" s="1277"/>
      <c r="AA91" s="1277"/>
      <c r="AB91" s="1277"/>
      <c r="AC91" s="1277"/>
      <c r="AD91" s="1277"/>
      <c r="AE91" s="1277"/>
      <c r="AF91" s="1277"/>
      <c r="AG91" s="1277"/>
      <c r="AH91" s="1277"/>
      <c r="AI91" s="1277"/>
      <c r="AJ91" s="1277"/>
      <c r="AK91" s="1277"/>
    </row>
    <row r="92" spans="1:37">
      <c r="A92" s="4"/>
      <c r="C92" s="2"/>
      <c r="D92" s="4"/>
      <c r="E92" s="4"/>
      <c r="G92" s="1277"/>
      <c r="H92" s="1277"/>
      <c r="I92" s="1277"/>
      <c r="J92" s="1277"/>
      <c r="K92" s="1277"/>
      <c r="L92" s="1277"/>
      <c r="M92" s="1277"/>
      <c r="N92" s="1277"/>
      <c r="O92" s="1277"/>
      <c r="P92" s="1277"/>
      <c r="Q92" s="1277"/>
      <c r="R92" s="1277"/>
      <c r="S92" s="1277"/>
      <c r="T92" s="1277"/>
      <c r="U92" s="1277"/>
      <c r="V92" s="1277"/>
      <c r="W92" s="1277"/>
      <c r="X92" s="1277"/>
      <c r="Y92" s="1277"/>
      <c r="Z92" s="1277"/>
      <c r="AA92" s="1277"/>
      <c r="AB92" s="1277"/>
      <c r="AC92" s="1277"/>
      <c r="AD92" s="1277"/>
      <c r="AE92" s="1277"/>
      <c r="AF92" s="1277"/>
      <c r="AG92" s="1277"/>
      <c r="AH92" s="1277"/>
      <c r="AI92" s="1277"/>
      <c r="AJ92" s="1277"/>
      <c r="AK92" s="1277"/>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8" t="s">
        <v>1278</v>
      </c>
      <c r="H94" s="1268"/>
      <c r="I94" s="1268"/>
      <c r="J94" s="1268"/>
      <c r="K94" s="1268"/>
      <c r="L94" s="1268"/>
      <c r="M94" s="1268"/>
      <c r="N94" s="1268"/>
      <c r="O94" s="1268"/>
      <c r="P94" s="1268"/>
      <c r="Q94" s="1268"/>
      <c r="R94" s="1268"/>
      <c r="S94" s="1268"/>
      <c r="T94" s="1268"/>
      <c r="U94" s="1268"/>
      <c r="V94" s="1268"/>
      <c r="W94" s="1268"/>
      <c r="X94" s="1268"/>
      <c r="Y94" s="1268"/>
      <c r="Z94" s="1268"/>
      <c r="AA94" s="1268"/>
      <c r="AB94" s="1268"/>
      <c r="AC94" s="1268"/>
      <c r="AD94" s="1268"/>
      <c r="AE94" s="1268"/>
      <c r="AF94" s="1268"/>
      <c r="AG94" s="1268"/>
      <c r="AH94" s="1268"/>
      <c r="AI94" s="1268"/>
      <c r="AJ94" s="1268"/>
      <c r="AK94" s="1268"/>
    </row>
    <row r="95" spans="1:37">
      <c r="A95" s="4"/>
      <c r="C95" s="2"/>
      <c r="D95" s="4"/>
      <c r="E95" s="4"/>
      <c r="G95" s="1268"/>
      <c r="H95" s="1268"/>
      <c r="I95" s="1268"/>
      <c r="J95" s="1268"/>
      <c r="K95" s="1268"/>
      <c r="L95" s="1268"/>
      <c r="M95" s="1268"/>
      <c r="N95" s="1268"/>
      <c r="O95" s="1268"/>
      <c r="P95" s="1268"/>
      <c r="Q95" s="1268"/>
      <c r="R95" s="1268"/>
      <c r="S95" s="1268"/>
      <c r="T95" s="1268"/>
      <c r="U95" s="1268"/>
      <c r="V95" s="1268"/>
      <c r="W95" s="1268"/>
      <c r="X95" s="1268"/>
      <c r="Y95" s="1268"/>
      <c r="Z95" s="1268"/>
      <c r="AA95" s="1268"/>
      <c r="AB95" s="1268"/>
      <c r="AC95" s="1268"/>
      <c r="AD95" s="1268"/>
      <c r="AE95" s="1268"/>
      <c r="AF95" s="1268"/>
      <c r="AG95" s="1268"/>
      <c r="AH95" s="1268"/>
      <c r="AI95" s="1268"/>
      <c r="AJ95" s="1268"/>
      <c r="AK95" s="1268"/>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8" t="s">
        <v>1279</v>
      </c>
      <c r="H97" s="1268"/>
      <c r="I97" s="1268"/>
      <c r="J97" s="1268"/>
      <c r="K97" s="1268"/>
      <c r="L97" s="1268"/>
      <c r="M97" s="1268"/>
      <c r="N97" s="1268"/>
      <c r="O97" s="1268"/>
      <c r="P97" s="1268"/>
      <c r="Q97" s="1268"/>
      <c r="R97" s="1268"/>
      <c r="S97" s="1268"/>
      <c r="T97" s="1268"/>
      <c r="U97" s="1268"/>
      <c r="V97" s="1268"/>
      <c r="W97" s="1268"/>
      <c r="X97" s="1268"/>
      <c r="Y97" s="1268"/>
      <c r="Z97" s="1268"/>
      <c r="AA97" s="1268"/>
      <c r="AB97" s="1268"/>
      <c r="AC97" s="1268"/>
      <c r="AD97" s="1268"/>
      <c r="AE97" s="1268"/>
      <c r="AF97" s="1268"/>
      <c r="AG97" s="1268"/>
      <c r="AH97" s="1268"/>
      <c r="AI97" s="1268"/>
      <c r="AJ97" s="1268"/>
      <c r="AK97" s="1268"/>
    </row>
    <row r="98" spans="1:38">
      <c r="A98" s="4"/>
      <c r="C98" s="2"/>
      <c r="D98" s="4"/>
      <c r="E98" s="4"/>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68"/>
      <c r="AJ98" s="1268"/>
      <c r="AK98" s="1268"/>
    </row>
    <row r="99" spans="1:38">
      <c r="A99" s="4"/>
      <c r="C99" s="2"/>
      <c r="D99" s="4"/>
      <c r="E99" s="4"/>
      <c r="G99" s="1268"/>
      <c r="H99" s="1268"/>
      <c r="I99" s="1268"/>
      <c r="J99" s="1268"/>
      <c r="K99" s="1268"/>
      <c r="L99" s="1268"/>
      <c r="M99" s="1268"/>
      <c r="N99" s="1268"/>
      <c r="O99" s="1268"/>
      <c r="P99" s="1268"/>
      <c r="Q99" s="1268"/>
      <c r="R99" s="1268"/>
      <c r="S99" s="1268"/>
      <c r="T99" s="1268"/>
      <c r="U99" s="1268"/>
      <c r="V99" s="1268"/>
      <c r="W99" s="1268"/>
      <c r="X99" s="1268"/>
      <c r="Y99" s="1268"/>
      <c r="Z99" s="1268"/>
      <c r="AA99" s="1268"/>
      <c r="AB99" s="1268"/>
      <c r="AC99" s="1268"/>
      <c r="AD99" s="1268"/>
      <c r="AE99" s="1268"/>
      <c r="AF99" s="1268"/>
      <c r="AG99" s="1268"/>
      <c r="AH99" s="1268"/>
      <c r="AI99" s="1268"/>
      <c r="AJ99" s="1268"/>
      <c r="AK99" s="1268"/>
    </row>
    <row r="100" spans="1:38">
      <c r="A100" s="4"/>
      <c r="D100" s="99"/>
      <c r="E100" s="1278" t="s">
        <v>1280</v>
      </c>
      <c r="F100" s="1278"/>
      <c r="G100" s="1278"/>
      <c r="H100" s="1278"/>
      <c r="I100" s="1278"/>
      <c r="J100" s="1278"/>
      <c r="K100" s="1278"/>
      <c r="L100" s="1278"/>
      <c r="M100" s="1278"/>
      <c r="N100" s="1278"/>
      <c r="O100" s="1278"/>
      <c r="P100" s="1278"/>
      <c r="Q100" s="1278"/>
      <c r="R100" s="1278"/>
      <c r="S100" s="1278"/>
      <c r="T100" s="1278"/>
      <c r="U100" s="1278"/>
      <c r="V100" s="1278"/>
      <c r="W100" s="1278"/>
      <c r="X100" s="1278"/>
      <c r="Y100" s="1278"/>
      <c r="Z100" s="1278"/>
      <c r="AA100" s="1278"/>
      <c r="AB100" s="1278"/>
      <c r="AC100" s="1278"/>
      <c r="AD100" s="1278"/>
      <c r="AE100" s="1278"/>
      <c r="AF100" s="1278"/>
      <c r="AG100" s="1278"/>
      <c r="AH100" s="1278"/>
      <c r="AI100" s="1278"/>
      <c r="AJ100" s="1278"/>
      <c r="AK100" s="1278"/>
    </row>
    <row r="101" spans="1:38">
      <c r="A101" s="4"/>
      <c r="D101" s="99"/>
      <c r="E101" s="1278"/>
      <c r="F101" s="1278"/>
      <c r="G101" s="1278"/>
      <c r="H101" s="1278"/>
      <c r="I101" s="1278"/>
      <c r="J101" s="1278"/>
      <c r="K101" s="1278"/>
      <c r="L101" s="1278"/>
      <c r="M101" s="1278"/>
      <c r="N101" s="1278"/>
      <c r="O101" s="1278"/>
      <c r="P101" s="1278"/>
      <c r="Q101" s="1278"/>
      <c r="R101" s="1278"/>
      <c r="S101" s="1278"/>
      <c r="T101" s="1278"/>
      <c r="U101" s="1278"/>
      <c r="V101" s="1278"/>
      <c r="W101" s="1278"/>
      <c r="X101" s="1278"/>
      <c r="Y101" s="1278"/>
      <c r="Z101" s="1278"/>
      <c r="AA101" s="1278"/>
      <c r="AB101" s="1278"/>
      <c r="AC101" s="1278"/>
      <c r="AD101" s="1278"/>
      <c r="AE101" s="1278"/>
      <c r="AF101" s="1278"/>
      <c r="AG101" s="1278"/>
      <c r="AH101" s="1278"/>
      <c r="AI101" s="1278"/>
      <c r="AJ101" s="1278"/>
      <c r="AK101" s="127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589</v>
      </c>
      <c r="F118" s="98" t="s">
        <v>940</v>
      </c>
    </row>
    <row r="119" spans="2:16">
      <c r="F119" s="4" t="s">
        <v>1038</v>
      </c>
      <c r="G119" s="4"/>
    </row>
    <row r="120" spans="2:16">
      <c r="F120" s="99" t="s">
        <v>1292</v>
      </c>
      <c r="G120" s="99"/>
    </row>
    <row r="121" spans="2:16">
      <c r="G121" s="99"/>
    </row>
    <row r="122" spans="2:16">
      <c r="E122" s="4" t="s">
        <v>771</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941</v>
      </c>
      <c r="F127" s="4"/>
    </row>
    <row r="128" spans="2:16"/>
    <row r="129" spans="4:37">
      <c r="D129" s="2" t="s">
        <v>342</v>
      </c>
      <c r="E129" s="2" t="s">
        <v>585</v>
      </c>
    </row>
    <row r="130" spans="4:37">
      <c r="E130" s="4" t="s">
        <v>941</v>
      </c>
      <c r="F130" s="4"/>
    </row>
    <row r="131" spans="4:37"/>
    <row r="132" spans="4:37">
      <c r="D132" s="2" t="s">
        <v>582</v>
      </c>
      <c r="E132" s="2" t="s">
        <v>732</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304</v>
      </c>
      <c r="E140" s="2" t="s">
        <v>2350</v>
      </c>
      <c r="F140" s="2"/>
      <c r="G140" s="2"/>
      <c r="H140" s="2"/>
    </row>
    <row r="141" spans="4:37">
      <c r="E141" t="s">
        <v>112</v>
      </c>
      <c r="F141" t="s">
        <v>52</v>
      </c>
    </row>
    <row r="142" spans="4:37">
      <c r="E142" t="s">
        <v>113</v>
      </c>
      <c r="F142" t="s">
        <v>474</v>
      </c>
    </row>
    <row r="143" spans="4:37"/>
    <row r="144" spans="4:37">
      <c r="D144" s="2" t="s">
        <v>430</v>
      </c>
      <c r="E144" s="2" t="s">
        <v>2351</v>
      </c>
    </row>
    <row r="145" spans="3:7">
      <c r="E145" s="218" t="s">
        <v>2352</v>
      </c>
      <c r="F145" s="218"/>
    </row>
    <row r="146" spans="3:7"/>
    <row r="147" spans="3:7">
      <c r="C147" s="2" t="s">
        <v>6</v>
      </c>
      <c r="G147" s="2" t="s">
        <v>381</v>
      </c>
    </row>
    <row r="148" spans="3:7">
      <c r="D148" s="2" t="s">
        <v>208</v>
      </c>
      <c r="E148" s="2" t="s">
        <v>135</v>
      </c>
    </row>
    <row r="149" spans="3:7">
      <c r="E149" t="s">
        <v>805</v>
      </c>
    </row>
    <row r="150" spans="3:7"/>
    <row r="151" spans="3:7">
      <c r="D151" s="2" t="s">
        <v>342</v>
      </c>
      <c r="E151" s="2" t="s">
        <v>532</v>
      </c>
      <c r="F151" s="2"/>
    </row>
    <row r="152" spans="3:7">
      <c r="E152" s="4" t="s">
        <v>943</v>
      </c>
      <c r="F152" s="4"/>
    </row>
    <row r="153" spans="3:7"/>
    <row r="154" spans="3:7">
      <c r="D154" s="2" t="s">
        <v>582</v>
      </c>
      <c r="E154" s="2" t="s">
        <v>561</v>
      </c>
    </row>
    <row r="155" spans="3:7">
      <c r="E155" s="4" t="s">
        <v>944</v>
      </c>
    </row>
    <row r="156" spans="3:7">
      <c r="E156" s="4" t="s">
        <v>942</v>
      </c>
      <c r="G156" s="4"/>
    </row>
    <row r="157" spans="3:7"/>
    <row r="158" spans="3:7">
      <c r="D158" s="2" t="s">
        <v>522</v>
      </c>
      <c r="E158" s="2" t="s">
        <v>541</v>
      </c>
    </row>
    <row r="159" spans="3:7">
      <c r="E159" t="s">
        <v>112</v>
      </c>
      <c r="F159" s="4" t="s">
        <v>945</v>
      </c>
    </row>
    <row r="160" spans="3:7">
      <c r="E160" s="4" t="s">
        <v>113</v>
      </c>
      <c r="F160" s="4" t="s">
        <v>946</v>
      </c>
    </row>
    <row r="161" spans="3:20">
      <c r="E161" s="4" t="s">
        <v>119</v>
      </c>
      <c r="F161" t="s">
        <v>733</v>
      </c>
    </row>
    <row r="162" spans="3:20"/>
    <row r="163" spans="3:20">
      <c r="D163" s="2" t="s">
        <v>304</v>
      </c>
      <c r="E163" s="2" t="s">
        <v>382</v>
      </c>
    </row>
    <row r="164" spans="3:20">
      <c r="E164" s="4" t="s">
        <v>947</v>
      </c>
      <c r="F164" s="4"/>
    </row>
    <row r="165" spans="3:20"/>
    <row r="166" spans="3:20">
      <c r="D166" s="2" t="s">
        <v>430</v>
      </c>
      <c r="E166" s="2" t="s">
        <v>172</v>
      </c>
    </row>
    <row r="167" spans="3:20">
      <c r="E167" s="4" t="s">
        <v>949</v>
      </c>
    </row>
    <row r="168" spans="3:20">
      <c r="E168" s="4" t="s">
        <v>948</v>
      </c>
    </row>
    <row r="169" spans="3:20"/>
    <row r="170" spans="3:20">
      <c r="D170" s="2" t="s">
        <v>565</v>
      </c>
      <c r="E170" s="2" t="s">
        <v>630</v>
      </c>
    </row>
    <row r="171" spans="3:20">
      <c r="E171" t="s">
        <v>112</v>
      </c>
      <c r="F171" t="s">
        <v>734</v>
      </c>
    </row>
    <row r="172" spans="3:20">
      <c r="E172" t="s">
        <v>113</v>
      </c>
      <c r="F172" t="s">
        <v>298</v>
      </c>
    </row>
    <row r="173" spans="3:20">
      <c r="F173" s="4"/>
    </row>
    <row r="174" spans="3:20">
      <c r="C174" s="2" t="s">
        <v>7</v>
      </c>
      <c r="E174" s="4"/>
      <c r="G174" s="2" t="s">
        <v>383</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717</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660</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589</v>
      </c>
      <c r="F206" s="4" t="s">
        <v>955</v>
      </c>
      <c r="M206" s="4"/>
      <c r="N206" s="4"/>
      <c r="O206" s="4"/>
      <c r="P206" s="4"/>
      <c r="Q206" s="4"/>
      <c r="R206" s="4"/>
      <c r="S206" s="4"/>
    </row>
    <row r="207" spans="2:37">
      <c r="B207" s="4"/>
      <c r="C207" s="4"/>
      <c r="D207" s="2"/>
      <c r="F207" t="s">
        <v>660</v>
      </c>
      <c r="G207" s="1268" t="s">
        <v>1281</v>
      </c>
      <c r="H207" s="1268"/>
      <c r="I207" s="1268"/>
      <c r="J207" s="1268"/>
      <c r="K207" s="1268"/>
      <c r="L207" s="1268"/>
      <c r="M207" s="1268"/>
      <c r="N207" s="1268"/>
      <c r="O207" s="1268"/>
      <c r="P207" s="1268"/>
      <c r="Q207" s="1268"/>
      <c r="R207" s="1268"/>
      <c r="S207" s="1268"/>
      <c r="T207" s="1268"/>
      <c r="U207" s="1268"/>
      <c r="V207" s="1268"/>
      <c r="W207" s="1268"/>
      <c r="X207" s="1268"/>
      <c r="Y207" s="1268"/>
      <c r="Z207" s="1268"/>
      <c r="AA207" s="1268"/>
      <c r="AB207" s="1268"/>
      <c r="AC207" s="1268"/>
      <c r="AD207" s="1268"/>
      <c r="AE207" s="1268"/>
      <c r="AF207" s="1268"/>
      <c r="AG207" s="1268"/>
      <c r="AH207" s="1268"/>
      <c r="AI207" s="1268"/>
      <c r="AJ207" s="1268"/>
      <c r="AK207" s="1268"/>
    </row>
    <row r="208" spans="2:37">
      <c r="B208" s="4"/>
      <c r="C208" s="4"/>
      <c r="D208" s="2"/>
      <c r="G208" s="1268"/>
      <c r="H208" s="1268"/>
      <c r="I208" s="1268"/>
      <c r="J208" s="1268"/>
      <c r="K208" s="1268"/>
      <c r="L208" s="1268"/>
      <c r="M208" s="1268"/>
      <c r="N208" s="1268"/>
      <c r="O208" s="1268"/>
      <c r="P208" s="1268"/>
      <c r="Q208" s="1268"/>
      <c r="R208" s="1268"/>
      <c r="S208" s="1268"/>
      <c r="T208" s="1268"/>
      <c r="U208" s="1268"/>
      <c r="V208" s="1268"/>
      <c r="W208" s="1268"/>
      <c r="X208" s="1268"/>
      <c r="Y208" s="1268"/>
      <c r="Z208" s="1268"/>
      <c r="AA208" s="1268"/>
      <c r="AB208" s="1268"/>
      <c r="AC208" s="1268"/>
      <c r="AD208" s="1268"/>
      <c r="AE208" s="1268"/>
      <c r="AF208" s="1268"/>
      <c r="AG208" s="1268"/>
      <c r="AH208" s="1268"/>
      <c r="AI208" s="1268"/>
      <c r="AJ208" s="1268"/>
      <c r="AK208" s="1268"/>
    </row>
    <row r="209" spans="1:38">
      <c r="B209" s="4"/>
      <c r="C209" s="4"/>
      <c r="D209" s="2"/>
      <c r="M209" s="4"/>
      <c r="N209" s="4"/>
      <c r="O209" s="4"/>
      <c r="P209" s="4"/>
      <c r="Q209" s="4"/>
      <c r="R209" s="4"/>
      <c r="S209" s="4"/>
    </row>
    <row r="210" spans="1:38">
      <c r="B210" s="4"/>
      <c r="C210" s="4"/>
      <c r="D210" s="2" t="s">
        <v>565</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349</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660</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349</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589</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660</v>
      </c>
      <c r="G293" s="4" t="s">
        <v>261</v>
      </c>
      <c r="K293" s="4"/>
      <c r="L293" s="4"/>
      <c r="M293" s="4"/>
      <c r="N293" s="4"/>
      <c r="O293" s="4"/>
      <c r="P293" s="4"/>
      <c r="Q293" s="4"/>
      <c r="R293" s="4"/>
      <c r="S293" s="4"/>
      <c r="T293" s="4"/>
      <c r="U293" s="4"/>
      <c r="V293" s="4"/>
      <c r="W293" s="4"/>
    </row>
    <row r="294" spans="2:23">
      <c r="B294" s="2"/>
      <c r="D294" s="4"/>
      <c r="E294" s="4"/>
      <c r="F294" s="4" t="s">
        <v>349</v>
      </c>
      <c r="G294" s="4" t="s">
        <v>958</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342</v>
      </c>
      <c r="E316" s="2" t="s">
        <v>759</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8" t="s">
        <v>1256</v>
      </c>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c r="AF338" s="1268"/>
      <c r="AG338" s="1268"/>
      <c r="AH338" s="1268"/>
      <c r="AI338" s="1268"/>
      <c r="AJ338" s="1268"/>
      <c r="AK338" s="1268"/>
    </row>
    <row r="339" spans="2:37">
      <c r="B339" s="2"/>
      <c r="E339" s="4"/>
      <c r="F339" s="1268"/>
      <c r="G339" s="1268"/>
      <c r="H339" s="1268"/>
      <c r="I339" s="1268"/>
      <c r="J339" s="1268"/>
      <c r="K339" s="1268"/>
      <c r="L339" s="1268"/>
      <c r="M339" s="1268"/>
      <c r="N339" s="1268"/>
      <c r="O339" s="1268"/>
      <c r="P339" s="1268"/>
      <c r="Q339" s="1268"/>
      <c r="R339" s="1268"/>
      <c r="S339" s="1268"/>
      <c r="T339" s="1268"/>
      <c r="U339" s="1268"/>
      <c r="V339" s="1268"/>
      <c r="W339" s="1268"/>
      <c r="X339" s="1268"/>
      <c r="Y339" s="1268"/>
      <c r="Z339" s="1268"/>
      <c r="AA339" s="1268"/>
      <c r="AB339" s="1268"/>
      <c r="AC339" s="1268"/>
      <c r="AD339" s="1268"/>
      <c r="AE339" s="1268"/>
      <c r="AF339" s="1268"/>
      <c r="AG339" s="1268"/>
      <c r="AH339" s="1268"/>
      <c r="AI339" s="1268"/>
      <c r="AJ339" s="1268"/>
      <c r="AK339" s="1268"/>
    </row>
    <row r="340" spans="2:37">
      <c r="B340" s="2"/>
      <c r="E340" s="4"/>
      <c r="F340" s="1268"/>
      <c r="G340" s="1268"/>
      <c r="H340" s="1268"/>
      <c r="I340" s="1268"/>
      <c r="J340" s="1268"/>
      <c r="K340" s="1268"/>
      <c r="L340" s="1268"/>
      <c r="M340" s="1268"/>
      <c r="N340" s="1268"/>
      <c r="O340" s="1268"/>
      <c r="P340" s="1268"/>
      <c r="Q340" s="1268"/>
      <c r="R340" s="1268"/>
      <c r="S340" s="1268"/>
      <c r="T340" s="1268"/>
      <c r="U340" s="1268"/>
      <c r="V340" s="1268"/>
      <c r="W340" s="1268"/>
      <c r="X340" s="1268"/>
      <c r="Y340" s="1268"/>
      <c r="Z340" s="1268"/>
      <c r="AA340" s="1268"/>
      <c r="AB340" s="1268"/>
      <c r="AC340" s="1268"/>
      <c r="AD340" s="1268"/>
      <c r="AE340" s="1268"/>
      <c r="AF340" s="1268"/>
      <c r="AG340" s="1268"/>
      <c r="AH340" s="1268"/>
      <c r="AI340" s="1268"/>
      <c r="AJ340" s="1268"/>
      <c r="AK340" s="1268"/>
    </row>
    <row r="341" spans="2:37">
      <c r="B341" s="2"/>
      <c r="F341" s="4"/>
      <c r="H341" s="4"/>
      <c r="I341" s="4"/>
      <c r="J341" s="4"/>
      <c r="K341" s="4"/>
      <c r="L341" s="4"/>
      <c r="M341" s="4"/>
      <c r="N341" s="4"/>
      <c r="O341" s="4"/>
      <c r="P341" s="4"/>
      <c r="Q341" s="4"/>
      <c r="R341" s="4"/>
      <c r="S341" s="4"/>
    </row>
    <row r="342" spans="2:37">
      <c r="B342" s="2"/>
      <c r="C342" s="2" t="s">
        <v>432</v>
      </c>
      <c r="G342" s="2" t="s">
        <v>1334</v>
      </c>
      <c r="I342" s="2"/>
      <c r="J342" s="4"/>
      <c r="K342" s="4"/>
      <c r="L342" s="4"/>
      <c r="M342" s="4"/>
      <c r="N342" s="4"/>
      <c r="O342" s="4"/>
      <c r="P342" s="4"/>
      <c r="Q342" s="4"/>
      <c r="R342" s="4"/>
      <c r="S342" s="4"/>
    </row>
    <row r="343" spans="2:37" ht="13.2" customHeight="1">
      <c r="B343" s="2"/>
      <c r="E343" s="1270" t="s">
        <v>1341</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c r="B348" s="2"/>
      <c r="E348" s="3" t="s">
        <v>112</v>
      </c>
      <c r="F348" s="1268" t="s">
        <v>1343</v>
      </c>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c r="AF348" s="1268"/>
      <c r="AG348" s="1268"/>
      <c r="AH348" s="1268"/>
      <c r="AI348" s="1268"/>
      <c r="AJ348" s="1268"/>
      <c r="AK348" s="1268"/>
    </row>
    <row r="349" spans="2:37">
      <c r="B349" s="2"/>
      <c r="E349" s="3"/>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c r="AF349" s="1268"/>
      <c r="AG349" s="1268"/>
      <c r="AH349" s="1268"/>
      <c r="AI349" s="1268"/>
      <c r="AJ349" s="1268"/>
      <c r="AK349" s="1268"/>
    </row>
    <row r="350" spans="2:37">
      <c r="B350" s="2"/>
      <c r="E350" s="3"/>
      <c r="F350" s="1268"/>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c r="AF350" s="1268"/>
      <c r="AG350" s="1268"/>
      <c r="AH350" s="1268"/>
      <c r="AI350" s="1268"/>
      <c r="AJ350" s="1268"/>
      <c r="AK350" s="1268"/>
    </row>
    <row r="351" spans="2:37">
      <c r="B351" s="2"/>
      <c r="E351" s="3"/>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c r="AF351" s="1268"/>
      <c r="AG351" s="1268"/>
      <c r="AH351" s="1268"/>
      <c r="AI351" s="1268"/>
      <c r="AJ351" s="1268"/>
      <c r="AK351" s="1268"/>
    </row>
    <row r="352" spans="2:37">
      <c r="B352" s="2"/>
      <c r="E352" s="3" t="s">
        <v>113</v>
      </c>
      <c r="F352" s="1268" t="s">
        <v>1342</v>
      </c>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c r="AF352" s="1268"/>
      <c r="AG352" s="1268"/>
      <c r="AH352" s="1268"/>
      <c r="AI352" s="1268"/>
      <c r="AJ352" s="1268"/>
      <c r="AK352" s="1268"/>
    </row>
    <row r="353" spans="1:38">
      <c r="B353" s="2"/>
      <c r="F353" s="1268"/>
      <c r="G353" s="1268"/>
      <c r="H353" s="1268"/>
      <c r="I353" s="1268"/>
      <c r="J353" s="1268"/>
      <c r="K353" s="1268"/>
      <c r="L353" s="1268"/>
      <c r="M353" s="1268"/>
      <c r="N353" s="1268"/>
      <c r="O353" s="1268"/>
      <c r="P353" s="1268"/>
      <c r="Q353" s="1268"/>
      <c r="R353" s="1268"/>
      <c r="S353" s="1268"/>
      <c r="T353" s="1268"/>
      <c r="U353" s="1268"/>
      <c r="V353" s="1268"/>
      <c r="W353" s="1268"/>
      <c r="X353" s="1268"/>
      <c r="Y353" s="1268"/>
      <c r="Z353" s="1268"/>
      <c r="AA353" s="1268"/>
      <c r="AB353" s="1268"/>
      <c r="AC353" s="1268"/>
      <c r="AD353" s="1268"/>
      <c r="AE353" s="1268"/>
      <c r="AF353" s="1268"/>
      <c r="AG353" s="1268"/>
      <c r="AH353" s="1268"/>
      <c r="AI353" s="1268"/>
      <c r="AJ353" s="1268"/>
      <c r="AK353" s="1268"/>
    </row>
    <row r="354" spans="1:38">
      <c r="B354" s="2"/>
      <c r="F354" s="1268"/>
      <c r="G354" s="1268"/>
      <c r="H354" s="1268"/>
      <c r="I354" s="1268"/>
      <c r="J354" s="1268"/>
      <c r="K354" s="1268"/>
      <c r="L354" s="1268"/>
      <c r="M354" s="1268"/>
      <c r="N354" s="1268"/>
      <c r="O354" s="1268"/>
      <c r="P354" s="1268"/>
      <c r="Q354" s="1268"/>
      <c r="R354" s="1268"/>
      <c r="S354" s="1268"/>
      <c r="T354" s="1268"/>
      <c r="U354" s="1268"/>
      <c r="V354" s="1268"/>
      <c r="W354" s="1268"/>
      <c r="X354" s="1268"/>
      <c r="Y354" s="1268"/>
      <c r="Z354" s="1268"/>
      <c r="AA354" s="1268"/>
      <c r="AB354" s="1268"/>
      <c r="AC354" s="1268"/>
      <c r="AD354" s="1268"/>
      <c r="AE354" s="1268"/>
      <c r="AF354" s="1268"/>
      <c r="AG354" s="1268"/>
      <c r="AH354" s="1268"/>
      <c r="AI354" s="1268"/>
      <c r="AJ354" s="1268"/>
      <c r="AK354" s="1268"/>
    </row>
    <row r="355" spans="1:38">
      <c r="B355" s="2"/>
      <c r="F355" s="4"/>
      <c r="H355" s="4"/>
      <c r="I355" s="4"/>
      <c r="J355" s="4"/>
      <c r="K355" s="4"/>
      <c r="L355" s="4"/>
      <c r="M355" s="4"/>
      <c r="N355" s="4"/>
      <c r="O355" s="4"/>
      <c r="P355" s="4"/>
      <c r="Q355" s="4"/>
      <c r="R355" s="4"/>
      <c r="S355" s="4"/>
    </row>
    <row r="356" spans="1:38">
      <c r="A356" s="5"/>
      <c r="B356" s="11" t="s">
        <v>760</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71" t="s">
        <v>1332</v>
      </c>
      <c r="F367" s="1271"/>
      <c r="G367" s="1271"/>
      <c r="H367" s="1271"/>
      <c r="I367" s="1271"/>
      <c r="J367" s="1271"/>
      <c r="K367" s="1271"/>
      <c r="L367" s="1271"/>
      <c r="M367" s="1271"/>
      <c r="N367" s="1271"/>
      <c r="O367" s="1271"/>
      <c r="P367" s="1271"/>
      <c r="Q367" s="1271"/>
      <c r="R367" s="1271"/>
      <c r="S367" s="1271"/>
      <c r="T367" s="1271"/>
      <c r="U367" s="1271"/>
      <c r="V367" s="1271"/>
      <c r="W367" s="1271"/>
      <c r="X367" s="1271"/>
      <c r="Y367" s="1271"/>
      <c r="Z367" s="1271"/>
      <c r="AA367" s="1271"/>
      <c r="AB367" s="1271"/>
      <c r="AC367" s="1271"/>
      <c r="AD367" s="1271"/>
      <c r="AE367" s="1271"/>
      <c r="AF367" s="1271"/>
      <c r="AG367" s="1271"/>
      <c r="AH367" s="1271"/>
      <c r="AI367" s="1271"/>
      <c r="AJ367" s="1271"/>
      <c r="AK367" s="1271"/>
      <c r="AL367" s="1271"/>
    </row>
    <row r="368" spans="1:38">
      <c r="B368" s="2"/>
      <c r="E368" s="1271"/>
      <c r="F368" s="1271"/>
      <c r="G368" s="1271"/>
      <c r="H368" s="1271"/>
      <c r="I368" s="1271"/>
      <c r="J368" s="1271"/>
      <c r="K368" s="1271"/>
      <c r="L368" s="1271"/>
      <c r="M368" s="1271"/>
      <c r="N368" s="1271"/>
      <c r="O368" s="1271"/>
      <c r="P368" s="1271"/>
      <c r="Q368" s="1271"/>
      <c r="R368" s="1271"/>
      <c r="S368" s="1271"/>
      <c r="T368" s="1271"/>
      <c r="U368" s="1271"/>
      <c r="V368" s="1271"/>
      <c r="W368" s="1271"/>
      <c r="X368" s="1271"/>
      <c r="Y368" s="1271"/>
      <c r="Z368" s="1271"/>
      <c r="AA368" s="1271"/>
      <c r="AB368" s="1271"/>
      <c r="AC368" s="1271"/>
      <c r="AD368" s="1271"/>
      <c r="AE368" s="1271"/>
      <c r="AF368" s="1271"/>
      <c r="AG368" s="1271"/>
      <c r="AH368" s="1271"/>
      <c r="AI368" s="1271"/>
      <c r="AJ368" s="1271"/>
      <c r="AK368" s="1271"/>
      <c r="AL368" s="1271"/>
    </row>
    <row r="369" spans="1:37" s="1273" customFormat="1">
      <c r="A369"/>
      <c r="B369" s="2"/>
      <c r="C369"/>
      <c r="D369"/>
      <c r="E369" s="1272" t="s">
        <v>1365</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1366</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8" t="s">
        <v>1376</v>
      </c>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c r="AF388" s="1268"/>
      <c r="AG388" s="1268"/>
      <c r="AH388" s="1268"/>
      <c r="AI388" s="1268"/>
      <c r="AJ388" s="1268"/>
      <c r="AK388" s="1268"/>
    </row>
    <row r="389" spans="1:38">
      <c r="B389" s="2"/>
      <c r="E389" s="3"/>
      <c r="F389" s="1268"/>
      <c r="G389" s="1268"/>
      <c r="H389" s="1268"/>
      <c r="I389" s="1268"/>
      <c r="J389" s="1268"/>
      <c r="K389" s="1268"/>
      <c r="L389" s="1268"/>
      <c r="M389" s="1268"/>
      <c r="N389" s="1268"/>
      <c r="O389" s="1268"/>
      <c r="P389" s="1268"/>
      <c r="Q389" s="1268"/>
      <c r="R389" s="1268"/>
      <c r="S389" s="1268"/>
      <c r="T389" s="1268"/>
      <c r="U389" s="1268"/>
      <c r="V389" s="1268"/>
      <c r="W389" s="1268"/>
      <c r="X389" s="1268"/>
      <c r="Y389" s="1268"/>
      <c r="Z389" s="1268"/>
      <c r="AA389" s="1268"/>
      <c r="AB389" s="1268"/>
      <c r="AC389" s="1268"/>
      <c r="AD389" s="1268"/>
      <c r="AE389" s="1268"/>
      <c r="AF389" s="1268"/>
      <c r="AG389" s="1268"/>
      <c r="AH389" s="1268"/>
      <c r="AI389" s="1268"/>
      <c r="AJ389" s="1268"/>
      <c r="AK389" s="1268"/>
    </row>
    <row r="390" spans="1:38">
      <c r="B390" s="2"/>
      <c r="E390" s="3"/>
      <c r="F390" s="1268"/>
      <c r="G390" s="1268"/>
      <c r="H390" s="1268"/>
      <c r="I390" s="1268"/>
      <c r="J390" s="1268"/>
      <c r="K390" s="1268"/>
      <c r="L390" s="1268"/>
      <c r="M390" s="1268"/>
      <c r="N390" s="1268"/>
      <c r="O390" s="1268"/>
      <c r="P390" s="1268"/>
      <c r="Q390" s="1268"/>
      <c r="R390" s="1268"/>
      <c r="S390" s="1268"/>
      <c r="T390" s="1268"/>
      <c r="U390" s="1268"/>
      <c r="V390" s="1268"/>
      <c r="W390" s="1268"/>
      <c r="X390" s="1268"/>
      <c r="Y390" s="1268"/>
      <c r="Z390" s="1268"/>
      <c r="AA390" s="1268"/>
      <c r="AB390" s="1268"/>
      <c r="AC390" s="1268"/>
      <c r="AD390" s="1268"/>
      <c r="AE390" s="1268"/>
      <c r="AF390" s="1268"/>
      <c r="AG390" s="1268"/>
      <c r="AH390" s="1268"/>
      <c r="AI390" s="1268"/>
      <c r="AJ390" s="1268"/>
      <c r="AK390" s="1268"/>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1382</v>
      </c>
      <c r="F392" s="3"/>
      <c r="G392" s="2"/>
      <c r="I392" s="120"/>
      <c r="J392" s="3"/>
      <c r="K392" s="3"/>
      <c r="L392" s="3"/>
      <c r="M392" s="3"/>
      <c r="N392" s="3"/>
      <c r="O392" s="3"/>
      <c r="P392" s="3"/>
      <c r="Q392" s="3"/>
      <c r="R392" s="3"/>
      <c r="S392" s="3"/>
    </row>
    <row r="393" spans="1:38" ht="13.2"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abSelected="1" workbookViewId="0">
      <selection activeCell="G116" sqref="G116"/>
    </sheetView>
  </sheetViews>
  <sheetFormatPr defaultColWidth="9.109375" defaultRowHeight="13.8"/>
  <cols>
    <col min="1" max="1" width="2.33203125" style="1079" customWidth="1"/>
    <col min="2" max="9" width="14.6640625" style="1079" customWidth="1"/>
    <col min="10" max="10" width="2.33203125" style="1079" customWidth="1"/>
    <col min="11" max="11" width="11.77734375" style="1080" customWidth="1"/>
    <col min="12" max="12" width="10.6640625" style="1079" customWidth="1"/>
    <col min="13" max="13" width="10.33203125" style="1079" customWidth="1"/>
    <col min="14" max="14" width="10.77734375" style="1079" customWidth="1"/>
    <col min="15" max="16384" width="9.109375" style="1079"/>
  </cols>
  <sheetData>
    <row r="1" spans="1:13" ht="30" customHeight="1">
      <c r="A1" s="2625" t="s">
        <v>1694</v>
      </c>
      <c r="B1" s="2625"/>
      <c r="C1" s="2625"/>
      <c r="D1" s="2625"/>
      <c r="E1" s="2625"/>
      <c r="F1" s="2625"/>
      <c r="G1" s="2625"/>
      <c r="H1" s="2625"/>
      <c r="I1" s="2625"/>
      <c r="J1" s="2625"/>
    </row>
    <row r="2" spans="1:13" ht="15" customHeight="1" thickBot="1">
      <c r="A2" s="1081"/>
      <c r="B2" s="1081"/>
      <c r="I2" s="1082"/>
      <c r="K2" s="1083"/>
    </row>
    <row r="3" spans="1:13" s="1086" customFormat="1" ht="19.95" customHeight="1">
      <c r="A3" s="1140"/>
      <c r="B3" s="1141"/>
      <c r="C3" s="1142"/>
      <c r="D3" s="1147"/>
      <c r="E3" s="1142"/>
      <c r="F3" s="1143" t="s">
        <v>2294</v>
      </c>
      <c r="G3" s="1142"/>
      <c r="H3" s="1144">
        <f>E16</f>
        <v>53469302.000000007</v>
      </c>
      <c r="I3" s="1145"/>
    </row>
    <row r="4" spans="1:13" s="1086" customFormat="1" ht="19.95" customHeight="1">
      <c r="B4" s="1134"/>
      <c r="D4" s="1148"/>
      <c r="F4" s="1132" t="s">
        <v>2296</v>
      </c>
      <c r="G4" s="1131" t="s">
        <v>2295</v>
      </c>
      <c r="H4" s="1133">
        <f>I16</f>
        <v>47905309.469607845</v>
      </c>
      <c r="I4" s="1135"/>
      <c r="K4" s="1090"/>
    </row>
    <row r="5" spans="1:13" s="1086" customFormat="1" ht="19.95" customHeight="1" thickBot="1">
      <c r="B5" s="1136"/>
      <c r="C5" s="1137"/>
      <c r="D5" s="1149"/>
      <c r="E5" s="1138"/>
      <c r="F5" s="1149" t="s">
        <v>2236</v>
      </c>
      <c r="G5" s="1150"/>
      <c r="H5" s="1146">
        <f>H3/H4</f>
        <v>1.1161456337928906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627" t="s">
        <v>2234</v>
      </c>
      <c r="C8" s="2628"/>
      <c r="D8" s="2628"/>
      <c r="E8" s="2629"/>
      <c r="G8" s="2630" t="s">
        <v>2235</v>
      </c>
      <c r="H8" s="2631"/>
      <c r="I8" s="2632"/>
      <c r="K8" s="1092"/>
    </row>
    <row r="9" spans="1:13" ht="15" customHeight="1">
      <c r="A9" s="1081"/>
      <c r="B9" s="2626" t="s">
        <v>2273</v>
      </c>
      <c r="C9" s="2626"/>
      <c r="D9" s="2626"/>
      <c r="E9" s="1094">
        <f>G31</f>
        <v>6287500</v>
      </c>
      <c r="G9" s="2635" t="s">
        <v>2271</v>
      </c>
      <c r="H9" s="2635"/>
      <c r="I9" s="1095">
        <f>Application!AM554</f>
        <v>41923146</v>
      </c>
      <c r="K9" s="1096"/>
      <c r="M9" s="1097"/>
    </row>
    <row r="10" spans="1:13" ht="15" customHeight="1" thickBot="1">
      <c r="A10" s="1081"/>
      <c r="B10" s="2626" t="s">
        <v>2274</v>
      </c>
      <c r="C10" s="2626"/>
      <c r="D10" s="2626"/>
      <c r="E10" s="1095">
        <f>G40</f>
        <v>34544052.000000007</v>
      </c>
      <c r="G10" s="2635" t="s">
        <v>2237</v>
      </c>
      <c r="H10" s="2635"/>
      <c r="I10" s="1182">
        <f>'Basis &amp; Credits'!AB78</f>
        <v>16138146</v>
      </c>
      <c r="M10" s="1097"/>
    </row>
    <row r="11" spans="1:13" ht="15" customHeight="1">
      <c r="A11" s="1098"/>
      <c r="B11" s="2626" t="s">
        <v>2275</v>
      </c>
      <c r="C11" s="2626"/>
      <c r="D11" s="2626"/>
      <c r="E11" s="1095">
        <f>G49</f>
        <v>0</v>
      </c>
      <c r="G11" s="2635" t="s">
        <v>2286</v>
      </c>
      <c r="H11" s="2635"/>
      <c r="I11" s="1181">
        <f>I9+I10</f>
        <v>58061292</v>
      </c>
      <c r="M11" s="1097"/>
    </row>
    <row r="12" spans="1:13" ht="15" customHeight="1">
      <c r="A12" s="1084"/>
      <c r="B12" s="2626" t="s">
        <v>2276</v>
      </c>
      <c r="C12" s="2626"/>
      <c r="D12" s="2626"/>
      <c r="E12" s="1095">
        <f>G58</f>
        <v>440000</v>
      </c>
      <c r="G12" s="1183" t="s">
        <v>2311</v>
      </c>
      <c r="H12" s="1184"/>
      <c r="M12" s="1097"/>
    </row>
    <row r="13" spans="1:13" ht="15" customHeight="1">
      <c r="A13" s="1081"/>
      <c r="B13" s="2626" t="s">
        <v>2277</v>
      </c>
      <c r="C13" s="2626"/>
      <c r="D13" s="2626"/>
      <c r="E13" s="1100">
        <f>G83</f>
        <v>9682750</v>
      </c>
      <c r="G13" s="2636" t="s">
        <v>139</v>
      </c>
      <c r="H13" s="2636"/>
      <c r="I13" s="1099">
        <f>15%*(AND(G111="Yes",G113&lt;&gt;""))</f>
        <v>0.15</v>
      </c>
      <c r="M13" s="1097"/>
    </row>
    <row r="14" spans="1:13" ht="15" customHeight="1">
      <c r="A14" s="1081"/>
      <c r="B14" s="2626" t="s">
        <v>2278</v>
      </c>
      <c r="C14" s="2626"/>
      <c r="D14" s="2626"/>
      <c r="E14" s="1095">
        <f>IF(G96&gt;G106,G96,0)</f>
        <v>2515000</v>
      </c>
      <c r="G14" s="1179" t="s">
        <v>2287</v>
      </c>
      <c r="H14" s="1179"/>
      <c r="I14" s="1099">
        <f>IF(Application!AJ1031&gt;0,10%,IF(Application!AJ1035&gt;0,5%,0))</f>
        <v>0</v>
      </c>
      <c r="M14" s="1097"/>
    </row>
    <row r="15" spans="1:13" ht="15" customHeight="1" thickBot="1">
      <c r="A15" s="1081"/>
      <c r="B15" s="2633" t="s">
        <v>2297</v>
      </c>
      <c r="C15" s="2633"/>
      <c r="D15" s="2633"/>
      <c r="E15" s="1151">
        <f>IF(E14&gt;0,0,G106)</f>
        <v>0</v>
      </c>
      <c r="G15" s="2639" t="s">
        <v>2288</v>
      </c>
      <c r="H15" s="2640"/>
      <c r="I15" s="1153">
        <f>G123</f>
        <v>2.4918300653594773E-2</v>
      </c>
      <c r="M15" s="1097"/>
    </row>
    <row r="16" spans="1:13" ht="15" customHeight="1">
      <c r="A16" s="1081"/>
      <c r="B16" s="2634" t="s">
        <v>2233</v>
      </c>
      <c r="C16" s="2634"/>
      <c r="D16" s="2634"/>
      <c r="E16" s="1152">
        <f>SUM(E9:E15)</f>
        <v>53469302.000000007</v>
      </c>
      <c r="G16" s="1180" t="s">
        <v>2272</v>
      </c>
      <c r="H16" s="1180"/>
      <c r="I16" s="1154">
        <f>I11-((I11*I13)+(I11*I14)+(I11*I15))</f>
        <v>47905309.469607845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99</v>
      </c>
      <c r="O18" s="1124" t="s">
        <v>590</v>
      </c>
      <c r="P18" s="1079">
        <f>MATCH(Application!T189,Application!BV490:BV547,0)</f>
        <v>44</v>
      </c>
      <c r="S18" s="1101">
        <f>SUM(Cdlac[Population])</f>
        <v>0</v>
      </c>
    </row>
    <row r="19" spans="1:20" ht="15" customHeight="1">
      <c r="A19" s="1081"/>
      <c r="B19" s="1081"/>
      <c r="I19" s="1107"/>
      <c r="L19" s="1079" t="s">
        <v>2229</v>
      </c>
      <c r="M19" s="1079" t="s">
        <v>2228</v>
      </c>
      <c r="N19" s="1079" t="s">
        <v>2242</v>
      </c>
      <c r="O19" s="1079" t="s">
        <v>2243</v>
      </c>
      <c r="P19" s="1079" t="s">
        <v>2230</v>
      </c>
      <c r="Q19" s="1079" t="s">
        <v>2231</v>
      </c>
      <c r="R19" s="1079" t="s">
        <v>2244</v>
      </c>
      <c r="S19" s="1079" t="s">
        <v>2250</v>
      </c>
      <c r="T19" s="1079" t="s">
        <v>386</v>
      </c>
    </row>
    <row r="20" spans="1:20" ht="15" customHeight="1">
      <c r="A20" s="1084"/>
      <c r="C20" s="2637" t="s">
        <v>2290</v>
      </c>
      <c r="D20" s="2637" t="s">
        <v>2291</v>
      </c>
      <c r="E20" s="2637" t="s">
        <v>2292</v>
      </c>
      <c r="F20" s="2637" t="s">
        <v>2293</v>
      </c>
      <c r="G20" s="2637" t="s">
        <v>2289</v>
      </c>
      <c r="H20" s="1108"/>
      <c r="I20" s="1107"/>
      <c r="L20" s="1079">
        <f>IFERROR(MIN(4,MATCH(Application!B718,UnitSizes,0)-1),"")</f>
        <v>1</v>
      </c>
      <c r="M20" s="1101">
        <f>Application!G718</f>
        <v>1</v>
      </c>
      <c r="N20" s="1109">
        <f>Application!AC718</f>
        <v>0.6</v>
      </c>
      <c r="O20" s="1109">
        <f>IF(Cdlac[[#This Row],[Quantity]]&gt;0,IF(Cdlac[[#This Row],[Federal]],30%,IF($G$36,40%,Cdlac[[#This Row],[iAMI]])),"")</f>
        <v>0.6</v>
      </c>
      <c r="P20" s="1101" cm="1">
        <f t="array" ref="P20">IF(Cdlac[[#This Row],[Quantity]]&gt;0,INDEX(TcacRents,$P$18,Cdlac[[#This Row],[Bedrooms]]+1)*Cdlac[[#This Row],[AMI]],"")</f>
        <v>2037.6</v>
      </c>
      <c r="Q20" s="1101" cm="1">
        <f t="array" ref="Q20">IF(Cdlac[[#This Row],[Quantity]]&gt;0,INDEX(HudFmrs,$P$18,Cdlac[[#This Row],[Bedrooms]]+1),"")</f>
        <v>3085</v>
      </c>
      <c r="R20" s="1101">
        <f>IF(Cdlac[[#This Row],[Quantity]]&gt;0,MAX(0,Cdlac[[#This Row],[Fair Market Rent]]-Cdlac[[#This Row],[Restricted Rent]]),"")</f>
        <v>1047.4000000000001</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638"/>
      <c r="D21" s="2638"/>
      <c r="E21" s="2638"/>
      <c r="F21" s="2638"/>
      <c r="G21" s="2638"/>
      <c r="H21" s="1108"/>
      <c r="I21" s="1107"/>
      <c r="L21" s="1079">
        <f>IFERROR(MIN(4,MATCH(Application!B719,UnitSizes,0)-1),"")</f>
        <v>1</v>
      </c>
      <c r="M21" s="1101">
        <f>Application!G719</f>
        <v>10</v>
      </c>
      <c r="N21" s="1109">
        <f>Application!AC719</f>
        <v>0.5</v>
      </c>
      <c r="O21" s="1109">
        <f>IF(Cdlac[[#This Row],[Quantity]]&gt;0,IF(Cdlac[[#This Row],[Federal]],30%,IF($G$36,40%,Cdlac[[#This Row],[iAMI]])),"")</f>
        <v>0.3</v>
      </c>
      <c r="P21" s="1101" cm="1">
        <f t="array" ref="P21">IF(Cdlac[[#This Row],[Quantity]]&gt;0,INDEX(TcacRents,$P$18,Cdlac[[#This Row],[Bedrooms]]+1)*Cdlac[[#This Row],[AMI]],"")</f>
        <v>1018.8</v>
      </c>
      <c r="Q21" s="1101" cm="1">
        <f t="array" ref="Q21">IF(Cdlac[[#This Row],[Quantity]]&gt;0,INDEX(HudFmrs,$P$18,Cdlac[[#This Row],[Bedrooms]]+1),"")</f>
        <v>3085</v>
      </c>
      <c r="R21" s="1101">
        <f>IF(Cdlac[[#This Row],[Quantity]]&gt;0,MAX(0,Cdlac[[#This Row],[Fair Market Rent]]-Cdlac[[#This Row],[Restricted Rent]]),"")</f>
        <v>2066.1999999999998</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10</v>
      </c>
      <c r="N22" s="1109">
        <f>Application!AC720</f>
        <v>0.3</v>
      </c>
      <c r="O22" s="1109">
        <f>IF(Cdlac[[#This Row],[Quantity]]&gt;0,IF(Cdlac[[#This Row],[Federal]],30%,IF($G$36,40%,Cdlac[[#This Row],[iAMI]])),"")</f>
        <v>0.3</v>
      </c>
      <c r="P22" s="1101" cm="1">
        <f t="array" ref="P22">IF(Cdlac[[#This Row],[Quantity]]&gt;0,INDEX(TcacRents,$P$18,Cdlac[[#This Row],[Bedrooms]]+1)*Cdlac[[#This Row],[AMI]],"")</f>
        <v>1018.8</v>
      </c>
      <c r="Q22" s="1101" cm="1">
        <f t="array" ref="Q22">IF(Cdlac[[#This Row],[Quantity]]&gt;0,INDEX(HudFmrs,$P$18,Cdlac[[#This Row],[Bedrooms]]+1),"")</f>
        <v>3085</v>
      </c>
      <c r="R22" s="1101">
        <f>IF(Cdlac[[#This Row],[Quantity]]&gt;0,MAX(0,Cdlac[[#This Row],[Fair Market Rent]]-Cdlac[[#This Row],[Restricted Rent]]),"")</f>
        <v>2066.1999999999998</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21</v>
      </c>
      <c r="F23" s="1110">
        <f>E23</f>
        <v>21</v>
      </c>
      <c r="G23" s="1110">
        <f>D23*F23</f>
        <v>21</v>
      </c>
      <c r="L23" s="1079">
        <f>IFERROR(MIN(4,MATCH(Application!B721,UnitSizes,0)-1),"")</f>
        <v>2</v>
      </c>
      <c r="M23" s="1101">
        <f>Application!G721</f>
        <v>25</v>
      </c>
      <c r="N23" s="1109">
        <f>Application!AC721</f>
        <v>0.7</v>
      </c>
      <c r="O23" s="1109">
        <f>IF(Cdlac[[#This Row],[Quantity]]&gt;0,IF(Cdlac[[#This Row],[Federal]],30%,IF($G$36,40%,Cdlac[[#This Row],[iAMI]])),"")</f>
        <v>0.7</v>
      </c>
      <c r="P23" s="1101" cm="1">
        <f t="array" ref="P23">IF(Cdlac[[#This Row],[Quantity]]&gt;0,INDEX(TcacRents,$P$18,Cdlac[[#This Row],[Bedrooms]]+1)*Cdlac[[#This Row],[AMI]],"")</f>
        <v>2851.7999999999997</v>
      </c>
      <c r="Q23" s="1101" cm="1">
        <f t="array" ref="Q23">IF(Cdlac[[#This Row],[Quantity]]&gt;0,INDEX(HudFmrs,$P$18,Cdlac[[#This Row],[Bedrooms]]+1),"")</f>
        <v>4054</v>
      </c>
      <c r="R23" s="1101">
        <f>IF(Cdlac[[#This Row],[Quantity]]&gt;0,MAX(0,Cdlac[[#This Row],[Fair Market Rent]]-Cdlac[[#This Row],[Restricted Rent]]),"")</f>
        <v>1202.2000000000003</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40</v>
      </c>
      <c r="F24" s="1113">
        <f>SUM(E24:E26)-SUM(F25:F26)</f>
        <v>49</v>
      </c>
      <c r="G24" s="1110">
        <f>D24*F24</f>
        <v>61.25</v>
      </c>
      <c r="H24" s="1112"/>
      <c r="I24" s="1112"/>
      <c r="L24" s="1079">
        <f>IFERROR(MIN(4,MATCH(Application!B722,UnitSizes,0)-1),"")</f>
        <v>2</v>
      </c>
      <c r="M24" s="1101">
        <f>Application!G722</f>
        <v>7</v>
      </c>
      <c r="N24" s="1109">
        <f>Application!AC722</f>
        <v>0.5</v>
      </c>
      <c r="O24" s="1109">
        <f>IF(Cdlac[[#This Row],[Quantity]]&gt;0,IF(Cdlac[[#This Row],[Federal]],30%,IF($G$36,40%,Cdlac[[#This Row],[iAMI]])),"")</f>
        <v>0.3</v>
      </c>
      <c r="P24" s="1101" cm="1">
        <f t="array" ref="P24">IF(Cdlac[[#This Row],[Quantity]]&gt;0,INDEX(TcacRents,$P$18,Cdlac[[#This Row],[Bedrooms]]+1)*Cdlac[[#This Row],[AMI]],"")</f>
        <v>1222.2</v>
      </c>
      <c r="Q24" s="1101" cm="1">
        <f t="array" ref="Q24">IF(Cdlac[[#This Row],[Quantity]]&gt;0,INDEX(HudFmrs,$P$18,Cdlac[[#This Row],[Bedrooms]]+1),"")</f>
        <v>4054</v>
      </c>
      <c r="R24" s="1101">
        <f>IF(Cdlac[[#This Row],[Quantity]]&gt;0,MAX(0,Cdlac[[#This Row],[Fair Market Rent]]-Cdlac[[#This Row],[Restricted Rent]]),"")</f>
        <v>2831.8</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38</v>
      </c>
      <c r="F25" s="1113">
        <f>MIN(E25,ROUNDDOWN(E27*30%,0))</f>
        <v>29</v>
      </c>
      <c r="G25" s="1110">
        <f>D25*F25</f>
        <v>43.5</v>
      </c>
      <c r="H25" s="1112"/>
      <c r="I25" s="1112"/>
      <c r="L25" s="1079">
        <f>IFERROR(MIN(4,MATCH(Application!B723,UnitSizes,0)-1),"")</f>
        <v>2</v>
      </c>
      <c r="M25" s="1101">
        <f>Application!G723</f>
        <v>8</v>
      </c>
      <c r="N25" s="1109">
        <f>Application!AC723</f>
        <v>0.3</v>
      </c>
      <c r="O25" s="1109">
        <f>IF(Cdlac[[#This Row],[Quantity]]&gt;0,IF(Cdlac[[#This Row],[Federal]],30%,IF($G$36,40%,Cdlac[[#This Row],[iAMI]])),"")</f>
        <v>0.3</v>
      </c>
      <c r="P25" s="1101" cm="1">
        <f t="array" ref="P25">IF(Cdlac[[#This Row],[Quantity]]&gt;0,INDEX(TcacRents,$P$18,Cdlac[[#This Row],[Bedrooms]]+1)*Cdlac[[#This Row],[AMI]],"")</f>
        <v>1222.2</v>
      </c>
      <c r="Q25" s="1101" cm="1">
        <f t="array" ref="Q25">IF(Cdlac[[#This Row],[Quantity]]&gt;0,INDEX(HudFmrs,$P$18,Cdlac[[#This Row],[Bedrooms]]+1),"")</f>
        <v>4054</v>
      </c>
      <c r="R25" s="1101">
        <f>IF(Cdlac[[#This Row],[Quantity]]&gt;0,MAX(0,Cdlac[[#This Row],[Fair Market Rent]]-Cdlac[[#This Row],[Restricted Rent]]),"")</f>
        <v>2831.8</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30</v>
      </c>
      <c r="N26" s="1109">
        <f>Application!AC724</f>
        <v>0.7</v>
      </c>
      <c r="O26" s="1109">
        <f>IF(Cdlac[[#This Row],[Quantity]]&gt;0,IF(Cdlac[[#This Row],[Federal]],30%,IF($G$36,40%,Cdlac[[#This Row],[iAMI]])),"")</f>
        <v>0.7</v>
      </c>
      <c r="P26" s="1101" cm="1">
        <f t="array" ref="P26">IF(Cdlac[[#This Row],[Quantity]]&gt;0,INDEX(TcacRents,$P$18,Cdlac[[#This Row],[Bedrooms]]+1)*Cdlac[[#This Row],[AMI]],"")</f>
        <v>3295.6</v>
      </c>
      <c r="Q26" s="1101" cm="1">
        <f t="array" ref="Q26">IF(Cdlac[[#This Row],[Quantity]]&gt;0,INDEX(HudFmrs,$P$18,Cdlac[[#This Row],[Bedrooms]]+1),"")</f>
        <v>5000</v>
      </c>
      <c r="R26" s="1101">
        <f>IF(Cdlac[[#This Row],[Quantity]]&gt;0,MAX(0,Cdlac[[#This Row],[Fair Market Rent]]-Cdlac[[#This Row],[Restricted Rent]]),"")</f>
        <v>1704.4</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621" t="s">
        <v>1695</v>
      </c>
      <c r="D27" s="2622"/>
      <c r="E27" s="1129">
        <f>SUM(E22:E26)</f>
        <v>99</v>
      </c>
      <c r="F27" s="1129">
        <f>SUM(F22:F26)</f>
        <v>99</v>
      </c>
      <c r="G27" s="1130">
        <f>SUMPRODUCT(D22:D26,F22:F26)</f>
        <v>125.75</v>
      </c>
      <c r="H27" s="1112"/>
      <c r="I27" s="1112"/>
      <c r="L27" s="1079">
        <f>IFERROR(MIN(4,MATCH(Application!B725,UnitSizes,0)-1),"")</f>
        <v>3</v>
      </c>
      <c r="M27" s="1101">
        <f>Application!G725</f>
        <v>3</v>
      </c>
      <c r="N27" s="1109">
        <f>Application!AC725</f>
        <v>0.5</v>
      </c>
      <c r="O27" s="1109">
        <f>IF(Cdlac[[#This Row],[Quantity]]&gt;0,IF(Cdlac[[#This Row],[Federal]],30%,IF($G$36,40%,Cdlac[[#This Row],[iAMI]])),"")</f>
        <v>0.5</v>
      </c>
      <c r="P27" s="1101" cm="1">
        <f t="array" ref="P27">IF(Cdlac[[#This Row],[Quantity]]&gt;0,INDEX(TcacRents,$P$18,Cdlac[[#This Row],[Bedrooms]]+1)*Cdlac[[#This Row],[AMI]],"")</f>
        <v>2354</v>
      </c>
      <c r="Q27" s="1101" cm="1">
        <f t="array" ref="Q27">IF(Cdlac[[#This Row],[Quantity]]&gt;0,INDEX(HudFmrs,$P$18,Cdlac[[#This Row],[Bedrooms]]+1),"")</f>
        <v>5000</v>
      </c>
      <c r="R27" s="1101">
        <f>IF(Cdlac[[#This Row],[Quantity]]&gt;0,MAX(0,Cdlac[[#This Row],[Fair Market Rent]]-Cdlac[[#This Row],[Restricted Rent]]),"")</f>
        <v>2646</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1</v>
      </c>
      <c r="N28" s="1109">
        <f>Application!AC726</f>
        <v>0.5</v>
      </c>
      <c r="O28" s="1109">
        <f>IF(Cdlac[[#This Row],[Quantity]]&gt;0,IF(Cdlac[[#This Row],[Federal]],30%,IF($G$36,40%,Cdlac[[#This Row],[iAMI]])),"")</f>
        <v>0.3</v>
      </c>
      <c r="P28" s="1101" cm="1">
        <f t="array" ref="P28">IF(Cdlac[[#This Row],[Quantity]]&gt;0,INDEX(TcacRents,$P$18,Cdlac[[#This Row],[Bedrooms]]+1)*Cdlac[[#This Row],[AMI]],"")</f>
        <v>1412.3999999999999</v>
      </c>
      <c r="Q28" s="1101" cm="1">
        <f t="array" ref="Q28">IF(Cdlac[[#This Row],[Quantity]]&gt;0,INDEX(HudFmrs,$P$18,Cdlac[[#This Row],[Bedrooms]]+1),"")</f>
        <v>5000</v>
      </c>
      <c r="R28" s="1101">
        <f>IF(Cdlac[[#This Row],[Quantity]]&gt;0,MAX(0,Cdlac[[#This Row],[Fair Market Rent]]-Cdlac[[#This Row],[Restricted Rent]]),"")</f>
        <v>3587.6000000000004</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2289</v>
      </c>
      <c r="G29" s="1156">
        <f>G27</f>
        <v>125.75</v>
      </c>
      <c r="H29" s="1112"/>
      <c r="I29" s="1112"/>
      <c r="L29" s="1079">
        <f>IFERROR(MIN(4,MATCH(Application!B727,UnitSizes,0)-1),"")</f>
        <v>3</v>
      </c>
      <c r="M29" s="1101">
        <f>Application!G727</f>
        <v>4</v>
      </c>
      <c r="N29" s="1109">
        <f>Application!AC727</f>
        <v>0.3</v>
      </c>
      <c r="O29" s="1109">
        <f>IF(Cdlac[[#This Row],[Quantity]]&gt;0,IF(Cdlac[[#This Row],[Federal]],30%,IF($G$36,40%,Cdlac[[#This Row],[iAMI]])),"")</f>
        <v>0.3</v>
      </c>
      <c r="P29" s="1101" cm="1">
        <f t="array" ref="P29">IF(Cdlac[[#This Row],[Quantity]]&gt;0,INDEX(TcacRents,$P$18,Cdlac[[#This Row],[Bedrooms]]+1)*Cdlac[[#This Row],[AMI]],"")</f>
        <v>1412.3999999999999</v>
      </c>
      <c r="Q29" s="1101" cm="1">
        <f t="array" ref="Q29">IF(Cdlac[[#This Row],[Quantity]]&gt;0,INDEX(HudFmrs,$P$18,Cdlac[[#This Row],[Bedrooms]]+1),"")</f>
        <v>5000</v>
      </c>
      <c r="R29" s="1101">
        <f>IF(Cdlac[[#This Row],[Quantity]]&gt;0,MAX(0,Cdlac[[#This Row],[Fair Market Rent]]-Cdlac[[#This Row],[Restricted Rent]]),"")</f>
        <v>3587.6000000000004</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2241</v>
      </c>
      <c r="F30" s="1155" t="s">
        <v>2298</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2282</v>
      </c>
      <c r="F31" s="1081"/>
      <c r="G31" s="1161">
        <f>G30*G29</f>
        <v>6287500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2309</v>
      </c>
      <c r="G35" s="1162" cm="1">
        <f t="array" ref="G35">SUMPRODUCT(Cdlac[Quantity],Cdlac[iAMI],IF(Cdlac[Federal],0,1))/SUMIFS(Cdlac[Quantity],Cdlac[Federal],FALSE)</f>
        <v>0.68813559322033901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2304</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2245</v>
      </c>
      <c r="G38" s="1116">
        <f>SUMPRODUCT(Cdlac[Quantity],Cdlac[Delta])</f>
        <v>191911.40000000002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2310</v>
      </c>
      <c r="F39" s="1155" t="s">
        <v>2298</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2238</v>
      </c>
      <c r="F40" s="1081"/>
      <c r="G40" s="1165">
        <f>G38*G39</f>
        <v>34544052.000000007</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2299</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2300</v>
      </c>
      <c r="G45" s="1167">
        <f>ROUNDDOWN(E27*50%,0)</f>
        <v>49</v>
      </c>
    </row>
    <row r="46" spans="2:20" ht="15" customHeight="1">
      <c r="E46" s="1159"/>
      <c r="G46" s="1167"/>
    </row>
    <row r="47" spans="2:20" ht="15" customHeight="1">
      <c r="E47" s="1159" t="s">
        <v>2251</v>
      </c>
      <c r="G47" s="1156">
        <f>MIN(G44:G45)</f>
        <v>0</v>
      </c>
    </row>
    <row r="48" spans="2:20" ht="15" customHeight="1">
      <c r="E48" s="1159" t="s">
        <v>2241</v>
      </c>
      <c r="F48" s="1155" t="s">
        <v>2298</v>
      </c>
      <c r="G48" s="1166">
        <v>10000</v>
      </c>
    </row>
    <row r="49" spans="2:14" ht="15" customHeight="1">
      <c r="E49" s="1160" t="s">
        <v>2281</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2301</v>
      </c>
      <c r="G53" s="1117">
        <f>SUMIFS(Cdlac[Quantity],Cdlac[iAMI],"&lt;=30%")</f>
        <v>22</v>
      </c>
    </row>
    <row r="54" spans="2:14" ht="15" customHeight="1">
      <c r="E54" s="1159" t="s">
        <v>2300</v>
      </c>
      <c r="G54" s="1117">
        <f>ROUNDDOWN(E27*50%,0)</f>
        <v>49</v>
      </c>
    </row>
    <row r="55" spans="2:14" ht="15" customHeight="1">
      <c r="E55" s="1159"/>
      <c r="G55" s="1117"/>
    </row>
    <row r="56" spans="2:14" ht="15" customHeight="1">
      <c r="E56" s="1159" t="s">
        <v>2251</v>
      </c>
      <c r="G56" s="1156">
        <f>MIN(G53:G54)</f>
        <v>22</v>
      </c>
    </row>
    <row r="57" spans="2:14" ht="15" customHeight="1">
      <c r="E57" s="1159" t="s">
        <v>2241</v>
      </c>
      <c r="F57" s="1155" t="s">
        <v>2298</v>
      </c>
      <c r="G57" s="1166">
        <v>20000</v>
      </c>
    </row>
    <row r="58" spans="2:14" ht="15" customHeight="1">
      <c r="E58" s="1160" t="s">
        <v>2280</v>
      </c>
      <c r="F58" s="1081"/>
      <c r="G58" s="1165">
        <f>G56*G57</f>
        <v>440000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2254</v>
      </c>
      <c r="G62" s="1156">
        <f>VLOOKUP('Points System'!$H$595,'Points System'!$AO$575:$AP$580,2,FALSE)</f>
        <v>7</v>
      </c>
      <c r="L62" s="1169" t="str">
        <f>'Points System'!H627</f>
        <v>(i)</v>
      </c>
      <c r="M62" s="2623" t="s">
        <v>1513</v>
      </c>
      <c r="N62" s="2624"/>
    </row>
    <row r="63" spans="2:14" ht="15" customHeight="1">
      <c r="E63" s="1124" t="s">
        <v>2241</v>
      </c>
      <c r="F63" s="1155" t="s">
        <v>2298</v>
      </c>
      <c r="G63" s="1114">
        <v>4000</v>
      </c>
      <c r="L63" s="1170" t="str">
        <f>'Points System'!H639</f>
        <v>(i)</v>
      </c>
      <c r="M63" s="2615" t="s">
        <v>2255</v>
      </c>
      <c r="N63" s="2616"/>
    </row>
    <row r="64" spans="2:14" ht="15" customHeight="1">
      <c r="E64" s="1124" t="s">
        <v>2302</v>
      </c>
      <c r="F64" s="1155" t="s">
        <v>2298</v>
      </c>
      <c r="G64" s="1168">
        <f>G27</f>
        <v>125.75</v>
      </c>
      <c r="L64" s="1170" t="str">
        <f>'Points System'!H674</f>
        <v>(i)</v>
      </c>
      <c r="M64" s="2615" t="s">
        <v>2256</v>
      </c>
      <c r="N64" s="2616"/>
    </row>
    <row r="65" spans="2:14" ht="15" customHeight="1">
      <c r="E65" s="1160" t="s">
        <v>2260</v>
      </c>
      <c r="F65" s="1081"/>
      <c r="G65" s="1165">
        <f>G62*G63*G64</f>
        <v>3521000</v>
      </c>
      <c r="L65" s="1170" t="str">
        <f>IF(OR('Points System'!H698="(ii)",'Points System'!H698="(i)"),"(i)","N/A")</f>
        <v>(i)</v>
      </c>
      <c r="M65" s="2615" t="s">
        <v>2257</v>
      </c>
      <c r="N65" s="2616"/>
    </row>
    <row r="66" spans="2:14" ht="15" customHeight="1">
      <c r="C66" s="1115"/>
      <c r="G66" s="1156"/>
      <c r="L66" s="1171" t="str">
        <f>'Points System'!H712</f>
        <v>N/A</v>
      </c>
      <c r="M66" s="2615" t="s">
        <v>1539</v>
      </c>
      <c r="N66" s="2616"/>
    </row>
    <row r="67" spans="2:14" ht="15" customHeight="1">
      <c r="E67" s="1124" t="s">
        <v>2303</v>
      </c>
      <c r="G67" s="1168">
        <f>COUNTIFS(L62:L69,"(i)")</f>
        <v>6</v>
      </c>
      <c r="L67" s="1170" t="str">
        <f>'Points System'!H724</f>
        <v>N/A</v>
      </c>
      <c r="M67" s="2615" t="s">
        <v>2258</v>
      </c>
      <c r="N67" s="2616"/>
    </row>
    <row r="68" spans="2:14" ht="15" customHeight="1">
      <c r="E68" s="1124" t="s">
        <v>2241</v>
      </c>
      <c r="F68" s="1155" t="s">
        <v>2298</v>
      </c>
      <c r="G68" s="1166">
        <v>4000</v>
      </c>
      <c r="L68" s="1170" t="str">
        <f>'Points System'!H740</f>
        <v>(i)</v>
      </c>
      <c r="M68" s="2615" t="s">
        <v>2259</v>
      </c>
      <c r="N68" s="2616"/>
    </row>
    <row r="69" spans="2:14" ht="15" customHeight="1" thickBot="1">
      <c r="E69" s="1160" t="s">
        <v>2261</v>
      </c>
      <c r="F69" s="1081"/>
      <c r="G69" s="1165">
        <f>G64*G67*G68</f>
        <v>3018000</v>
      </c>
      <c r="L69" s="1172" t="str">
        <f>'Points System'!H752</f>
        <v>(i)</v>
      </c>
      <c r="M69" s="2617" t="s">
        <v>1542</v>
      </c>
      <c r="N69" s="2618"/>
    </row>
    <row r="70" spans="2:14" ht="15" customHeight="1"/>
    <row r="71" spans="2:14" ht="15" customHeight="1">
      <c r="C71" s="1118" t="s">
        <v>2263</v>
      </c>
    </row>
    <row r="72" spans="2:14" ht="15" customHeight="1">
      <c r="C72" s="1115" t="s">
        <v>2264</v>
      </c>
      <c r="G72" s="1078"/>
    </row>
    <row r="73" spans="2:14" ht="15" customHeight="1">
      <c r="C73" s="1115" t="s">
        <v>2265</v>
      </c>
      <c r="G73" s="1078"/>
    </row>
    <row r="74" spans="2:14" ht="15" customHeight="1">
      <c r="C74" s="1115" t="s">
        <v>2493</v>
      </c>
      <c r="G74" s="1078" t="s">
        <v>553</v>
      </c>
    </row>
    <row r="75" spans="2:14" ht="15" customHeight="1">
      <c r="C75" s="1115" t="s">
        <v>2494</v>
      </c>
      <c r="G75" s="1078"/>
    </row>
    <row r="76" spans="2:14" ht="15" customHeight="1"/>
    <row r="77" spans="2:14" ht="15" customHeight="1">
      <c r="B77" s="1116"/>
      <c r="C77" s="1115"/>
      <c r="E77" s="1124" t="s">
        <v>2305</v>
      </c>
      <c r="G77" s="1117" t="b">
        <f>COUNTIFS(G72:G75,"Yes")&gt;=1</f>
        <v>1</v>
      </c>
    </row>
    <row r="78" spans="2:14" ht="15" customHeight="1">
      <c r="E78" s="1115"/>
    </row>
    <row r="79" spans="2:14" ht="15" customHeight="1">
      <c r="E79" s="1124" t="s">
        <v>2302</v>
      </c>
      <c r="F79" s="1155" t="s">
        <v>2298</v>
      </c>
      <c r="G79" s="1156">
        <f>G27</f>
        <v>125.75</v>
      </c>
    </row>
    <row r="80" spans="2:14" ht="15" customHeight="1">
      <c r="E80" s="1124" t="s">
        <v>2241</v>
      </c>
      <c r="F80" s="1155" t="s">
        <v>2298</v>
      </c>
      <c r="G80" s="1166">
        <v>25000</v>
      </c>
    </row>
    <row r="81" spans="2:14" ht="15" customHeight="1">
      <c r="E81" s="1160" t="s">
        <v>2262</v>
      </c>
      <c r="F81" s="1081"/>
      <c r="G81" s="1165">
        <f>G77*G80*G64</f>
        <v>3143750</v>
      </c>
    </row>
    <row r="82" spans="2:14" ht="15" customHeight="1">
      <c r="C82" s="1115"/>
      <c r="E82" s="1115"/>
    </row>
    <row r="83" spans="2:14" ht="15" customHeight="1">
      <c r="E83" s="1160" t="s">
        <v>2239</v>
      </c>
      <c r="G83" s="1165">
        <f>G81+G69+G65</f>
        <v>9682750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2284</v>
      </c>
      <c r="G87" s="1078" t="s">
        <v>553</v>
      </c>
      <c r="L87" s="2619" t="s">
        <v>2268</v>
      </c>
      <c r="M87" s="2620"/>
      <c r="N87" s="1173">
        <v>30000</v>
      </c>
    </row>
    <row r="88" spans="2:14" ht="15" customHeight="1">
      <c r="C88" s="1115" t="s">
        <v>2285</v>
      </c>
      <c r="G88" s="1119" t="str">
        <f>IF(Application!D211="Large Family","Yes","No")</f>
        <v>Yes</v>
      </c>
      <c r="L88" s="2611" t="s">
        <v>2232</v>
      </c>
      <c r="M88" s="2612"/>
      <c r="N88" s="1174">
        <v>20000</v>
      </c>
    </row>
    <row r="89" spans="2:14" ht="15" customHeight="1" thickBot="1">
      <c r="C89" s="1115" t="s">
        <v>2266</v>
      </c>
      <c r="G89" s="1078" t="s">
        <v>676</v>
      </c>
      <c r="L89" s="2613" t="s">
        <v>2269</v>
      </c>
      <c r="M89" s="2614"/>
      <c r="N89" s="1175">
        <v>10000</v>
      </c>
    </row>
    <row r="90" spans="2:14" ht="15" customHeight="1">
      <c r="C90" s="1115" t="s">
        <v>2267</v>
      </c>
      <c r="G90" s="1079" t="str">
        <f>Application!T193</f>
        <v>High Resource</v>
      </c>
    </row>
    <row r="91" spans="2:14" ht="15" customHeight="1">
      <c r="C91" s="1115"/>
    </row>
    <row r="92" spans="2:14" ht="15" customHeight="1">
      <c r="E92" s="1124" t="s">
        <v>2305</v>
      </c>
      <c r="G92" s="1117" t="b">
        <f>AND(COUNTIFS(G88:G89,"Yes")&gt;=1,G87="Yes")</f>
        <v>1</v>
      </c>
    </row>
    <row r="93" spans="2:14" ht="15" customHeight="1">
      <c r="E93" s="1124"/>
      <c r="G93" s="1117"/>
    </row>
    <row r="94" spans="2:14" ht="15" customHeight="1">
      <c r="E94" s="1124" t="s">
        <v>2241</v>
      </c>
      <c r="G94" s="1116">
        <f>IFERROR(INDEX(N87:N89,MATCH(LEFT(G90,17),L87:L89,0)),0)</f>
        <v>20000</v>
      </c>
    </row>
    <row r="95" spans="2:14" ht="15" customHeight="1">
      <c r="E95" s="1124" t="str">
        <f>E64</f>
        <v>Bedroom-Adjusted Low-Income Units</v>
      </c>
      <c r="F95" s="1155" t="s">
        <v>2298</v>
      </c>
      <c r="G95" s="1156">
        <f>G27</f>
        <v>125.75</v>
      </c>
    </row>
    <row r="96" spans="2:14" ht="15" customHeight="1">
      <c r="D96" s="1081"/>
      <c r="E96" s="1160" t="s">
        <v>2240</v>
      </c>
      <c r="F96" s="1081"/>
      <c r="G96" s="1165">
        <f>G95*G94*G92</f>
        <v>2515000</v>
      </c>
    </row>
    <row r="97" spans="2:9" ht="15" customHeight="1"/>
    <row r="98" spans="2:9" ht="15" customHeight="1">
      <c r="B98" s="1104" t="s">
        <v>2253</v>
      </c>
      <c r="C98" s="1105"/>
      <c r="D98" s="1105"/>
      <c r="E98" s="1105"/>
      <c r="F98" s="1105"/>
      <c r="G98" s="1105"/>
      <c r="H98" s="1105"/>
      <c r="I98" s="1106"/>
    </row>
    <row r="99" spans="2:9" ht="15" customHeight="1"/>
    <row r="100" spans="2:9" ht="15" customHeight="1">
      <c r="F100" s="1158" t="s">
        <v>2279</v>
      </c>
      <c r="G100" s="1078" t="s">
        <v>676</v>
      </c>
    </row>
    <row r="101" spans="2:9" ht="15" customHeight="1">
      <c r="F101" s="1158"/>
    </row>
    <row r="102" spans="2:9" ht="15" customHeight="1">
      <c r="E102" s="1124" t="s">
        <v>2305</v>
      </c>
      <c r="G102" s="1117" t="b">
        <f>G100="Yes"</f>
        <v>0</v>
      </c>
    </row>
    <row r="103" spans="2:9" ht="15" customHeight="1"/>
    <row r="104" spans="2:9" ht="15" customHeight="1">
      <c r="E104" s="1124" t="str">
        <f>E64</f>
        <v>Bedroom-Adjusted Low-Income Units</v>
      </c>
      <c r="G104" s="1156">
        <f>G27</f>
        <v>125.75</v>
      </c>
    </row>
    <row r="105" spans="2:9" ht="15" customHeight="1">
      <c r="E105" s="1124" t="s">
        <v>2241</v>
      </c>
      <c r="F105" s="1155" t="s">
        <v>2298</v>
      </c>
      <c r="G105" s="1085">
        <v>20000</v>
      </c>
    </row>
    <row r="106" spans="2:9" ht="15" customHeight="1">
      <c r="E106" s="1160" t="s">
        <v>2270</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608" t="s">
        <v>2632</v>
      </c>
      <c r="D110" s="2608"/>
      <c r="E110" s="2608"/>
      <c r="F110" s="2608"/>
    </row>
    <row r="111" spans="2:9" ht="15" customHeight="1">
      <c r="C111" s="2608"/>
      <c r="D111" s="2608"/>
      <c r="E111" s="2608"/>
      <c r="F111" s="2608"/>
      <c r="G111" s="1078" t="s">
        <v>553</v>
      </c>
    </row>
    <row r="112" spans="2:9" ht="15" customHeight="1"/>
    <row r="113" spans="2:9" ht="15" customHeight="1">
      <c r="C113" s="1079" t="s">
        <v>2635</v>
      </c>
      <c r="G113" s="2609" t="s">
        <v>2792</v>
      </c>
      <c r="H113" s="2609"/>
    </row>
    <row r="114" spans="2:9" ht="15" customHeight="1">
      <c r="G114" s="2609"/>
      <c r="H114" s="2609"/>
    </row>
    <row r="115" spans="2:9" ht="15" customHeight="1">
      <c r="G115" s="2610"/>
      <c r="H115" s="2610"/>
    </row>
    <row r="116" spans="2:9" ht="15" customHeight="1">
      <c r="G116" s="1263"/>
      <c r="H116" s="1263"/>
    </row>
    <row r="117" spans="2:9" ht="15" customHeight="1">
      <c r="B117" s="1104" t="s">
        <v>2307</v>
      </c>
      <c r="C117" s="1105"/>
      <c r="D117" s="1105"/>
      <c r="E117" s="1105"/>
      <c r="F117" s="1105"/>
      <c r="G117" s="1105"/>
      <c r="H117" s="1105"/>
      <c r="I117" s="1106"/>
    </row>
    <row r="118" spans="2:9" ht="15" customHeight="1"/>
    <row r="119" spans="2:9" ht="15" customHeight="1">
      <c r="E119" s="1124" t="s">
        <v>590</v>
      </c>
      <c r="G119" s="1079" t="str">
        <f>IF(Application!T189="","",Application!T189)</f>
        <v>Santa Cruz</v>
      </c>
    </row>
    <row r="120" spans="2:9" ht="15" customHeight="1">
      <c r="E120" s="1124"/>
      <c r="G120" s="1116"/>
    </row>
    <row r="121" spans="2:9" ht="15" customHeight="1">
      <c r="E121" s="1124" t="str">
        <f>"2-Bedroom "&amp;G119&amp;" County Basis Limit"</f>
        <v>2-Bedroom Santa Cruz County Basis Limit</v>
      </c>
      <c r="G121" s="1116">
        <f>Application!R987</f>
        <v>538400</v>
      </c>
    </row>
    <row r="122" spans="2:9" ht="15" customHeight="1">
      <c r="E122" s="1124" t="s">
        <v>2306</v>
      </c>
      <c r="G122" s="1116">
        <f>MEDIAN((Application!BR806:BR863))</f>
        <v>489600</v>
      </c>
    </row>
    <row r="123" spans="2:9" ht="15" customHeight="1">
      <c r="D123" s="1081"/>
      <c r="E123" s="1160" t="s">
        <v>2308</v>
      </c>
      <c r="F123" s="1176"/>
      <c r="G123" s="1177">
        <f>((G121-G122)/G122)*0.25</f>
        <v>2.4918300653594773E-2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2" zoomScale="110" zoomScaleNormal="110" workbookViewId="0">
      <selection activeCell="AB50" sqref="AB50:AF50"/>
    </sheetView>
  </sheetViews>
  <sheetFormatPr defaultColWidth="0" defaultRowHeight="13.05" customHeight="1"/>
  <cols>
    <col min="1" max="1" width="1.6640625" style="433" customWidth="1"/>
    <col min="2" max="2" width="0.77734375" style="433" customWidth="1"/>
    <col min="3" max="18" width="2.6640625" style="433" customWidth="1"/>
    <col min="19" max="19" width="6.33203125" style="433" customWidth="1"/>
    <col min="20" max="39" width="2.6640625" style="433" customWidth="1"/>
    <col min="40" max="40" width="1.6640625" style="433" customWidth="1"/>
    <col min="41" max="256" width="2.6640625" style="433" hidden="1"/>
    <col min="257" max="257" width="1.6640625" style="433" hidden="1" customWidth="1"/>
    <col min="258" max="258" width="0.77734375" style="433" hidden="1" customWidth="1"/>
    <col min="259" max="274" width="2.6640625" style="433" hidden="1" customWidth="1"/>
    <col min="275" max="275" width="4" style="433" hidden="1" customWidth="1"/>
    <col min="276" max="279" width="2.6640625" style="433" hidden="1" customWidth="1"/>
    <col min="280" max="280" width="2.33203125" style="433" hidden="1" customWidth="1"/>
    <col min="281" max="284" width="2.6640625" style="433" hidden="1" customWidth="1"/>
    <col min="285" max="285" width="2.33203125" style="433" hidden="1" customWidth="1"/>
    <col min="286" max="289" width="2.6640625" style="433" hidden="1" customWidth="1"/>
    <col min="290" max="295" width="2.33203125" style="433" hidden="1" customWidth="1"/>
    <col min="296" max="296" width="1.6640625" style="433" hidden="1" customWidth="1"/>
    <col min="297" max="512" width="2.6640625" style="433" hidden="1"/>
    <col min="513" max="513" width="1.6640625" style="433" hidden="1" customWidth="1"/>
    <col min="514" max="514" width="0.77734375" style="433" hidden="1" customWidth="1"/>
    <col min="515" max="530" width="2.6640625" style="433" hidden="1" customWidth="1"/>
    <col min="531" max="531" width="4" style="433" hidden="1" customWidth="1"/>
    <col min="532" max="535" width="2.6640625" style="433" hidden="1" customWidth="1"/>
    <col min="536" max="536" width="2.33203125" style="433" hidden="1" customWidth="1"/>
    <col min="537" max="540" width="2.6640625" style="433" hidden="1" customWidth="1"/>
    <col min="541" max="541" width="2.33203125" style="433" hidden="1" customWidth="1"/>
    <col min="542" max="545" width="2.6640625" style="433" hidden="1" customWidth="1"/>
    <col min="546" max="551" width="2.33203125" style="433" hidden="1" customWidth="1"/>
    <col min="552" max="552" width="1.6640625" style="433" hidden="1" customWidth="1"/>
    <col min="553" max="768" width="2.6640625" style="433" hidden="1"/>
    <col min="769" max="769" width="1.6640625" style="433" hidden="1" customWidth="1"/>
    <col min="770" max="770" width="0.77734375" style="433" hidden="1" customWidth="1"/>
    <col min="771" max="786" width="2.6640625" style="433" hidden="1" customWidth="1"/>
    <col min="787" max="787" width="4" style="433" hidden="1" customWidth="1"/>
    <col min="788" max="791" width="2.6640625" style="433" hidden="1" customWidth="1"/>
    <col min="792" max="792" width="2.33203125" style="433" hidden="1" customWidth="1"/>
    <col min="793" max="796" width="2.6640625" style="433" hidden="1" customWidth="1"/>
    <col min="797" max="797" width="2.33203125" style="433" hidden="1" customWidth="1"/>
    <col min="798" max="801" width="2.6640625" style="433" hidden="1" customWidth="1"/>
    <col min="802" max="807" width="2.33203125" style="433" hidden="1" customWidth="1"/>
    <col min="808" max="808" width="1.6640625" style="433" hidden="1" customWidth="1"/>
    <col min="809" max="1024" width="2.6640625" style="433" hidden="1"/>
    <col min="1025" max="1025" width="1.6640625" style="433" hidden="1" customWidth="1"/>
    <col min="1026" max="1026" width="0.77734375" style="433" hidden="1" customWidth="1"/>
    <col min="1027" max="1042" width="2.6640625" style="433" hidden="1" customWidth="1"/>
    <col min="1043" max="1043" width="4" style="433" hidden="1" customWidth="1"/>
    <col min="1044" max="1047" width="2.6640625" style="433" hidden="1" customWidth="1"/>
    <col min="1048" max="1048" width="2.33203125" style="433" hidden="1" customWidth="1"/>
    <col min="1049" max="1052" width="2.6640625" style="433" hidden="1" customWidth="1"/>
    <col min="1053" max="1053" width="2.33203125" style="433" hidden="1" customWidth="1"/>
    <col min="1054" max="1057" width="2.6640625" style="433" hidden="1" customWidth="1"/>
    <col min="1058" max="1063" width="2.33203125" style="433" hidden="1" customWidth="1"/>
    <col min="1064" max="1064" width="1.6640625" style="433" hidden="1" customWidth="1"/>
    <col min="1065" max="1280" width="2.6640625" style="433" hidden="1"/>
    <col min="1281" max="1281" width="1.6640625" style="433" hidden="1" customWidth="1"/>
    <col min="1282" max="1282" width="0.77734375" style="433" hidden="1" customWidth="1"/>
    <col min="1283" max="1298" width="2.6640625" style="433" hidden="1" customWidth="1"/>
    <col min="1299" max="1299" width="4" style="433" hidden="1" customWidth="1"/>
    <col min="1300" max="1303" width="2.6640625" style="433" hidden="1" customWidth="1"/>
    <col min="1304" max="1304" width="2.33203125" style="433" hidden="1" customWidth="1"/>
    <col min="1305" max="1308" width="2.6640625" style="433" hidden="1" customWidth="1"/>
    <col min="1309" max="1309" width="2.33203125" style="433" hidden="1" customWidth="1"/>
    <col min="1310" max="1313" width="2.6640625" style="433" hidden="1" customWidth="1"/>
    <col min="1314" max="1319" width="2.33203125" style="433" hidden="1" customWidth="1"/>
    <col min="1320" max="1320" width="1.6640625" style="433" hidden="1" customWidth="1"/>
    <col min="1321" max="1536" width="2.6640625" style="433" hidden="1"/>
    <col min="1537" max="1537" width="1.6640625" style="433" hidden="1" customWidth="1"/>
    <col min="1538" max="1538" width="0.77734375" style="433" hidden="1" customWidth="1"/>
    <col min="1539" max="1554" width="2.6640625" style="433" hidden="1" customWidth="1"/>
    <col min="1555" max="1555" width="4" style="433" hidden="1" customWidth="1"/>
    <col min="1556" max="1559" width="2.6640625" style="433" hidden="1" customWidth="1"/>
    <col min="1560" max="1560" width="2.33203125" style="433" hidden="1" customWidth="1"/>
    <col min="1561" max="1564" width="2.6640625" style="433" hidden="1" customWidth="1"/>
    <col min="1565" max="1565" width="2.33203125" style="433" hidden="1" customWidth="1"/>
    <col min="1566" max="1569" width="2.6640625" style="433" hidden="1" customWidth="1"/>
    <col min="1570" max="1575" width="2.33203125" style="433" hidden="1" customWidth="1"/>
    <col min="1576" max="1576" width="1.6640625" style="433" hidden="1" customWidth="1"/>
    <col min="1577" max="1792" width="2.6640625" style="433" hidden="1"/>
    <col min="1793" max="1793" width="1.6640625" style="433" hidden="1" customWidth="1"/>
    <col min="1794" max="1794" width="0.77734375" style="433" hidden="1" customWidth="1"/>
    <col min="1795" max="1810" width="2.6640625" style="433" hidden="1" customWidth="1"/>
    <col min="1811" max="1811" width="4" style="433" hidden="1" customWidth="1"/>
    <col min="1812" max="1815" width="2.6640625" style="433" hidden="1" customWidth="1"/>
    <col min="1816" max="1816" width="2.33203125" style="433" hidden="1" customWidth="1"/>
    <col min="1817" max="1820" width="2.6640625" style="433" hidden="1" customWidth="1"/>
    <col min="1821" max="1821" width="2.33203125" style="433" hidden="1" customWidth="1"/>
    <col min="1822" max="1825" width="2.6640625" style="433" hidden="1" customWidth="1"/>
    <col min="1826" max="1831" width="2.33203125" style="433" hidden="1" customWidth="1"/>
    <col min="1832" max="1832" width="1.6640625" style="433" hidden="1" customWidth="1"/>
    <col min="1833" max="2048" width="2.6640625" style="433" hidden="1"/>
    <col min="2049" max="2049" width="1.6640625" style="433" hidden="1" customWidth="1"/>
    <col min="2050" max="2050" width="0.77734375" style="433" hidden="1" customWidth="1"/>
    <col min="2051" max="2066" width="2.6640625" style="433" hidden="1" customWidth="1"/>
    <col min="2067" max="2067" width="4" style="433" hidden="1" customWidth="1"/>
    <col min="2068" max="2071" width="2.6640625" style="433" hidden="1" customWidth="1"/>
    <col min="2072" max="2072" width="2.33203125" style="433" hidden="1" customWidth="1"/>
    <col min="2073" max="2076" width="2.6640625" style="433" hidden="1" customWidth="1"/>
    <col min="2077" max="2077" width="2.33203125" style="433" hidden="1" customWidth="1"/>
    <col min="2078" max="2081" width="2.6640625" style="433" hidden="1" customWidth="1"/>
    <col min="2082" max="2087" width="2.33203125" style="433" hidden="1" customWidth="1"/>
    <col min="2088" max="2088" width="1.6640625" style="433" hidden="1" customWidth="1"/>
    <col min="2089" max="2304" width="2.6640625" style="433" hidden="1"/>
    <col min="2305" max="2305" width="1.6640625" style="433" hidden="1" customWidth="1"/>
    <col min="2306" max="2306" width="0.77734375" style="433" hidden="1" customWidth="1"/>
    <col min="2307" max="2322" width="2.6640625" style="433" hidden="1" customWidth="1"/>
    <col min="2323" max="2323" width="4" style="433" hidden="1" customWidth="1"/>
    <col min="2324" max="2327" width="2.6640625" style="433" hidden="1" customWidth="1"/>
    <col min="2328" max="2328" width="2.33203125" style="433" hidden="1" customWidth="1"/>
    <col min="2329" max="2332" width="2.6640625" style="433" hidden="1" customWidth="1"/>
    <col min="2333" max="2333" width="2.33203125" style="433" hidden="1" customWidth="1"/>
    <col min="2334" max="2337" width="2.6640625" style="433" hidden="1" customWidth="1"/>
    <col min="2338" max="2343" width="2.33203125" style="433" hidden="1" customWidth="1"/>
    <col min="2344" max="2344" width="1.6640625" style="433" hidden="1" customWidth="1"/>
    <col min="2345" max="2560" width="2.6640625" style="433" hidden="1"/>
    <col min="2561" max="2561" width="1.6640625" style="433" hidden="1" customWidth="1"/>
    <col min="2562" max="2562" width="0.77734375" style="433" hidden="1" customWidth="1"/>
    <col min="2563" max="2578" width="2.6640625" style="433" hidden="1" customWidth="1"/>
    <col min="2579" max="2579" width="4" style="433" hidden="1" customWidth="1"/>
    <col min="2580" max="2583" width="2.6640625" style="433" hidden="1" customWidth="1"/>
    <col min="2584" max="2584" width="2.33203125" style="433" hidden="1" customWidth="1"/>
    <col min="2585" max="2588" width="2.6640625" style="433" hidden="1" customWidth="1"/>
    <col min="2589" max="2589" width="2.33203125" style="433" hidden="1" customWidth="1"/>
    <col min="2590" max="2593" width="2.6640625" style="433" hidden="1" customWidth="1"/>
    <col min="2594" max="2599" width="2.33203125" style="433" hidden="1" customWidth="1"/>
    <col min="2600" max="2600" width="1.6640625" style="433" hidden="1" customWidth="1"/>
    <col min="2601" max="2816" width="2.6640625" style="433" hidden="1"/>
    <col min="2817" max="2817" width="1.6640625" style="433" hidden="1" customWidth="1"/>
    <col min="2818" max="2818" width="0.77734375" style="433" hidden="1" customWidth="1"/>
    <col min="2819" max="2834" width="2.6640625" style="433" hidden="1" customWidth="1"/>
    <col min="2835" max="2835" width="4" style="433" hidden="1" customWidth="1"/>
    <col min="2836" max="2839" width="2.6640625" style="433" hidden="1" customWidth="1"/>
    <col min="2840" max="2840" width="2.33203125" style="433" hidden="1" customWidth="1"/>
    <col min="2841" max="2844" width="2.6640625" style="433" hidden="1" customWidth="1"/>
    <col min="2845" max="2845" width="2.33203125" style="433" hidden="1" customWidth="1"/>
    <col min="2846" max="2849" width="2.6640625" style="433" hidden="1" customWidth="1"/>
    <col min="2850" max="2855" width="2.33203125" style="433" hidden="1" customWidth="1"/>
    <col min="2856" max="2856" width="1.6640625" style="433" hidden="1" customWidth="1"/>
    <col min="2857" max="3072" width="2.6640625" style="433" hidden="1"/>
    <col min="3073" max="3073" width="1.6640625" style="433" hidden="1" customWidth="1"/>
    <col min="3074" max="3074" width="0.77734375" style="433" hidden="1" customWidth="1"/>
    <col min="3075" max="3090" width="2.6640625" style="433" hidden="1" customWidth="1"/>
    <col min="3091" max="3091" width="4" style="433" hidden="1" customWidth="1"/>
    <col min="3092" max="3095" width="2.6640625" style="433" hidden="1" customWidth="1"/>
    <col min="3096" max="3096" width="2.33203125" style="433" hidden="1" customWidth="1"/>
    <col min="3097" max="3100" width="2.6640625" style="433" hidden="1" customWidth="1"/>
    <col min="3101" max="3101" width="2.33203125" style="433" hidden="1" customWidth="1"/>
    <col min="3102" max="3105" width="2.6640625" style="433" hidden="1" customWidth="1"/>
    <col min="3106" max="3111" width="2.33203125" style="433" hidden="1" customWidth="1"/>
    <col min="3112" max="3112" width="1.6640625" style="433" hidden="1" customWidth="1"/>
    <col min="3113" max="3328" width="2.6640625" style="433" hidden="1"/>
    <col min="3329" max="3329" width="1.6640625" style="433" hidden="1" customWidth="1"/>
    <col min="3330" max="3330" width="0.77734375" style="433" hidden="1" customWidth="1"/>
    <col min="3331" max="3346" width="2.6640625" style="433" hidden="1" customWidth="1"/>
    <col min="3347" max="3347" width="4" style="433" hidden="1" customWidth="1"/>
    <col min="3348" max="3351" width="2.6640625" style="433" hidden="1" customWidth="1"/>
    <col min="3352" max="3352" width="2.33203125" style="433" hidden="1" customWidth="1"/>
    <col min="3353" max="3356" width="2.6640625" style="433" hidden="1" customWidth="1"/>
    <col min="3357" max="3357" width="2.33203125" style="433" hidden="1" customWidth="1"/>
    <col min="3358" max="3361" width="2.6640625" style="433" hidden="1" customWidth="1"/>
    <col min="3362" max="3367" width="2.33203125" style="433" hidden="1" customWidth="1"/>
    <col min="3368" max="3368" width="1.6640625" style="433" hidden="1" customWidth="1"/>
    <col min="3369" max="3584" width="2.6640625" style="433" hidden="1"/>
    <col min="3585" max="3585" width="1.6640625" style="433" hidden="1" customWidth="1"/>
    <col min="3586" max="3586" width="0.77734375" style="433" hidden="1" customWidth="1"/>
    <col min="3587" max="3602" width="2.6640625" style="433" hidden="1" customWidth="1"/>
    <col min="3603" max="3603" width="4" style="433" hidden="1" customWidth="1"/>
    <col min="3604" max="3607" width="2.6640625" style="433" hidden="1" customWidth="1"/>
    <col min="3608" max="3608" width="2.33203125" style="433" hidden="1" customWidth="1"/>
    <col min="3609" max="3612" width="2.6640625" style="433" hidden="1" customWidth="1"/>
    <col min="3613" max="3613" width="2.33203125" style="433" hidden="1" customWidth="1"/>
    <col min="3614" max="3617" width="2.6640625" style="433" hidden="1" customWidth="1"/>
    <col min="3618" max="3623" width="2.33203125" style="433" hidden="1" customWidth="1"/>
    <col min="3624" max="3624" width="1.6640625" style="433" hidden="1" customWidth="1"/>
    <col min="3625" max="3840" width="2.6640625" style="433" hidden="1"/>
    <col min="3841" max="3841" width="1.6640625" style="433" hidden="1" customWidth="1"/>
    <col min="3842" max="3842" width="0.77734375" style="433" hidden="1" customWidth="1"/>
    <col min="3843" max="3858" width="2.6640625" style="433" hidden="1" customWidth="1"/>
    <col min="3859" max="3859" width="4" style="433" hidden="1" customWidth="1"/>
    <col min="3860" max="3863" width="2.6640625" style="433" hidden="1" customWidth="1"/>
    <col min="3864" max="3864" width="2.33203125" style="433" hidden="1" customWidth="1"/>
    <col min="3865" max="3868" width="2.6640625" style="433" hidden="1" customWidth="1"/>
    <col min="3869" max="3869" width="2.33203125" style="433" hidden="1" customWidth="1"/>
    <col min="3870" max="3873" width="2.6640625" style="433" hidden="1" customWidth="1"/>
    <col min="3874" max="3879" width="2.33203125" style="433" hidden="1" customWidth="1"/>
    <col min="3880" max="3880" width="1.6640625" style="433" hidden="1" customWidth="1"/>
    <col min="3881" max="4096" width="2.6640625" style="433" hidden="1"/>
    <col min="4097" max="4097" width="1.6640625" style="433" hidden="1" customWidth="1"/>
    <col min="4098" max="4098" width="0.77734375" style="433" hidden="1" customWidth="1"/>
    <col min="4099" max="4114" width="2.6640625" style="433" hidden="1" customWidth="1"/>
    <col min="4115" max="4115" width="4" style="433" hidden="1" customWidth="1"/>
    <col min="4116" max="4119" width="2.6640625" style="433" hidden="1" customWidth="1"/>
    <col min="4120" max="4120" width="2.33203125" style="433" hidden="1" customWidth="1"/>
    <col min="4121" max="4124" width="2.6640625" style="433" hidden="1" customWidth="1"/>
    <col min="4125" max="4125" width="2.33203125" style="433" hidden="1" customWidth="1"/>
    <col min="4126" max="4129" width="2.6640625" style="433" hidden="1" customWidth="1"/>
    <col min="4130" max="4135" width="2.33203125" style="433" hidden="1" customWidth="1"/>
    <col min="4136" max="4136" width="1.6640625" style="433" hidden="1" customWidth="1"/>
    <col min="4137" max="4352" width="2.6640625" style="433" hidden="1"/>
    <col min="4353" max="4353" width="1.6640625" style="433" hidden="1" customWidth="1"/>
    <col min="4354" max="4354" width="0.77734375" style="433" hidden="1" customWidth="1"/>
    <col min="4355" max="4370" width="2.6640625" style="433" hidden="1" customWidth="1"/>
    <col min="4371" max="4371" width="4" style="433" hidden="1" customWidth="1"/>
    <col min="4372" max="4375" width="2.6640625" style="433" hidden="1" customWidth="1"/>
    <col min="4376" max="4376" width="2.33203125" style="433" hidden="1" customWidth="1"/>
    <col min="4377" max="4380" width="2.6640625" style="433" hidden="1" customWidth="1"/>
    <col min="4381" max="4381" width="2.33203125" style="433" hidden="1" customWidth="1"/>
    <col min="4382" max="4385" width="2.6640625" style="433" hidden="1" customWidth="1"/>
    <col min="4386" max="4391" width="2.33203125" style="433" hidden="1" customWidth="1"/>
    <col min="4392" max="4392" width="1.6640625" style="433" hidden="1" customWidth="1"/>
    <col min="4393" max="4608" width="2.6640625" style="433" hidden="1"/>
    <col min="4609" max="4609" width="1.6640625" style="433" hidden="1" customWidth="1"/>
    <col min="4610" max="4610" width="0.77734375" style="433" hidden="1" customWidth="1"/>
    <col min="4611" max="4626" width="2.6640625" style="433" hidden="1" customWidth="1"/>
    <col min="4627" max="4627" width="4" style="433" hidden="1" customWidth="1"/>
    <col min="4628" max="4631" width="2.6640625" style="433" hidden="1" customWidth="1"/>
    <col min="4632" max="4632" width="2.33203125" style="433" hidden="1" customWidth="1"/>
    <col min="4633" max="4636" width="2.6640625" style="433" hidden="1" customWidth="1"/>
    <col min="4637" max="4637" width="2.33203125" style="433" hidden="1" customWidth="1"/>
    <col min="4638" max="4641" width="2.6640625" style="433" hidden="1" customWidth="1"/>
    <col min="4642" max="4647" width="2.33203125" style="433" hidden="1" customWidth="1"/>
    <col min="4648" max="4648" width="1.6640625" style="433" hidden="1" customWidth="1"/>
    <col min="4649" max="4864" width="2.6640625" style="433" hidden="1"/>
    <col min="4865" max="4865" width="1.6640625" style="433" hidden="1" customWidth="1"/>
    <col min="4866" max="4866" width="0.77734375" style="433" hidden="1" customWidth="1"/>
    <col min="4867" max="4882" width="2.6640625" style="433" hidden="1" customWidth="1"/>
    <col min="4883" max="4883" width="4" style="433" hidden="1" customWidth="1"/>
    <col min="4884" max="4887" width="2.6640625" style="433" hidden="1" customWidth="1"/>
    <col min="4888" max="4888" width="2.33203125" style="433" hidden="1" customWidth="1"/>
    <col min="4889" max="4892" width="2.6640625" style="433" hidden="1" customWidth="1"/>
    <col min="4893" max="4893" width="2.33203125" style="433" hidden="1" customWidth="1"/>
    <col min="4894" max="4897" width="2.6640625" style="433" hidden="1" customWidth="1"/>
    <col min="4898" max="4903" width="2.33203125" style="433" hidden="1" customWidth="1"/>
    <col min="4904" max="4904" width="1.6640625" style="433" hidden="1" customWidth="1"/>
    <col min="4905" max="5120" width="2.6640625" style="433" hidden="1"/>
    <col min="5121" max="5121" width="1.6640625" style="433" hidden="1" customWidth="1"/>
    <col min="5122" max="5122" width="0.77734375" style="433" hidden="1" customWidth="1"/>
    <col min="5123" max="5138" width="2.6640625" style="433" hidden="1" customWidth="1"/>
    <col min="5139" max="5139" width="4" style="433" hidden="1" customWidth="1"/>
    <col min="5140" max="5143" width="2.6640625" style="433" hidden="1" customWidth="1"/>
    <col min="5144" max="5144" width="2.33203125" style="433" hidden="1" customWidth="1"/>
    <col min="5145" max="5148" width="2.6640625" style="433" hidden="1" customWidth="1"/>
    <col min="5149" max="5149" width="2.33203125" style="433" hidden="1" customWidth="1"/>
    <col min="5150" max="5153" width="2.6640625" style="433" hidden="1" customWidth="1"/>
    <col min="5154" max="5159" width="2.33203125" style="433" hidden="1" customWidth="1"/>
    <col min="5160" max="5160" width="1.6640625" style="433" hidden="1" customWidth="1"/>
    <col min="5161" max="5376" width="2.6640625" style="433" hidden="1"/>
    <col min="5377" max="5377" width="1.6640625" style="433" hidden="1" customWidth="1"/>
    <col min="5378" max="5378" width="0.77734375" style="433" hidden="1" customWidth="1"/>
    <col min="5379" max="5394" width="2.6640625" style="433" hidden="1" customWidth="1"/>
    <col min="5395" max="5395" width="4" style="433" hidden="1" customWidth="1"/>
    <col min="5396" max="5399" width="2.6640625" style="433" hidden="1" customWidth="1"/>
    <col min="5400" max="5400" width="2.33203125" style="433" hidden="1" customWidth="1"/>
    <col min="5401" max="5404" width="2.6640625" style="433" hidden="1" customWidth="1"/>
    <col min="5405" max="5405" width="2.33203125" style="433" hidden="1" customWidth="1"/>
    <col min="5406" max="5409" width="2.6640625" style="433" hidden="1" customWidth="1"/>
    <col min="5410" max="5415" width="2.33203125" style="433" hidden="1" customWidth="1"/>
    <col min="5416" max="5416" width="1.6640625" style="433" hidden="1" customWidth="1"/>
    <col min="5417" max="5632" width="2.6640625" style="433" hidden="1"/>
    <col min="5633" max="5633" width="1.6640625" style="433" hidden="1" customWidth="1"/>
    <col min="5634" max="5634" width="0.77734375" style="433" hidden="1" customWidth="1"/>
    <col min="5635" max="5650" width="2.6640625" style="433" hidden="1" customWidth="1"/>
    <col min="5651" max="5651" width="4" style="433" hidden="1" customWidth="1"/>
    <col min="5652" max="5655" width="2.6640625" style="433" hidden="1" customWidth="1"/>
    <col min="5656" max="5656" width="2.33203125" style="433" hidden="1" customWidth="1"/>
    <col min="5657" max="5660" width="2.6640625" style="433" hidden="1" customWidth="1"/>
    <col min="5661" max="5661" width="2.33203125" style="433" hidden="1" customWidth="1"/>
    <col min="5662" max="5665" width="2.6640625" style="433" hidden="1" customWidth="1"/>
    <col min="5666" max="5671" width="2.33203125" style="433" hidden="1" customWidth="1"/>
    <col min="5672" max="5672" width="1.6640625" style="433" hidden="1" customWidth="1"/>
    <col min="5673" max="5888" width="2.6640625" style="433" hidden="1"/>
    <col min="5889" max="5889" width="1.6640625" style="433" hidden="1" customWidth="1"/>
    <col min="5890" max="5890" width="0.77734375" style="433" hidden="1" customWidth="1"/>
    <col min="5891" max="5906" width="2.6640625" style="433" hidden="1" customWidth="1"/>
    <col min="5907" max="5907" width="4" style="433" hidden="1" customWidth="1"/>
    <col min="5908" max="5911" width="2.6640625" style="433" hidden="1" customWidth="1"/>
    <col min="5912" max="5912" width="2.33203125" style="433" hidden="1" customWidth="1"/>
    <col min="5913" max="5916" width="2.6640625" style="433" hidden="1" customWidth="1"/>
    <col min="5917" max="5917" width="2.33203125" style="433" hidden="1" customWidth="1"/>
    <col min="5918" max="5921" width="2.6640625" style="433" hidden="1" customWidth="1"/>
    <col min="5922" max="5927" width="2.33203125" style="433" hidden="1" customWidth="1"/>
    <col min="5928" max="5928" width="1.6640625" style="433" hidden="1" customWidth="1"/>
    <col min="5929" max="6144" width="2.6640625" style="433" hidden="1"/>
    <col min="6145" max="6145" width="1.6640625" style="433" hidden="1" customWidth="1"/>
    <col min="6146" max="6146" width="0.77734375" style="433" hidden="1" customWidth="1"/>
    <col min="6147" max="6162" width="2.6640625" style="433" hidden="1" customWidth="1"/>
    <col min="6163" max="6163" width="4" style="433" hidden="1" customWidth="1"/>
    <col min="6164" max="6167" width="2.6640625" style="433" hidden="1" customWidth="1"/>
    <col min="6168" max="6168" width="2.33203125" style="433" hidden="1" customWidth="1"/>
    <col min="6169" max="6172" width="2.6640625" style="433" hidden="1" customWidth="1"/>
    <col min="6173" max="6173" width="2.33203125" style="433" hidden="1" customWidth="1"/>
    <col min="6174" max="6177" width="2.6640625" style="433" hidden="1" customWidth="1"/>
    <col min="6178" max="6183" width="2.33203125" style="433" hidden="1" customWidth="1"/>
    <col min="6184" max="6184" width="1.6640625" style="433" hidden="1" customWidth="1"/>
    <col min="6185" max="6400" width="2.6640625" style="433" hidden="1"/>
    <col min="6401" max="6401" width="1.6640625" style="433" hidden="1" customWidth="1"/>
    <col min="6402" max="6402" width="0.77734375" style="433" hidden="1" customWidth="1"/>
    <col min="6403" max="6418" width="2.6640625" style="433" hidden="1" customWidth="1"/>
    <col min="6419" max="6419" width="4" style="433" hidden="1" customWidth="1"/>
    <col min="6420" max="6423" width="2.6640625" style="433" hidden="1" customWidth="1"/>
    <col min="6424" max="6424" width="2.33203125" style="433" hidden="1" customWidth="1"/>
    <col min="6425" max="6428" width="2.6640625" style="433" hidden="1" customWidth="1"/>
    <col min="6429" max="6429" width="2.33203125" style="433" hidden="1" customWidth="1"/>
    <col min="6430" max="6433" width="2.6640625" style="433" hidden="1" customWidth="1"/>
    <col min="6434" max="6439" width="2.33203125" style="433" hidden="1" customWidth="1"/>
    <col min="6440" max="6440" width="1.6640625" style="433" hidden="1" customWidth="1"/>
    <col min="6441" max="6656" width="2.6640625" style="433" hidden="1"/>
    <col min="6657" max="6657" width="1.6640625" style="433" hidden="1" customWidth="1"/>
    <col min="6658" max="6658" width="0.77734375" style="433" hidden="1" customWidth="1"/>
    <col min="6659" max="6674" width="2.6640625" style="433" hidden="1" customWidth="1"/>
    <col min="6675" max="6675" width="4" style="433" hidden="1" customWidth="1"/>
    <col min="6676" max="6679" width="2.6640625" style="433" hidden="1" customWidth="1"/>
    <col min="6680" max="6680" width="2.33203125" style="433" hidden="1" customWidth="1"/>
    <col min="6681" max="6684" width="2.6640625" style="433" hidden="1" customWidth="1"/>
    <col min="6685" max="6685" width="2.33203125" style="433" hidden="1" customWidth="1"/>
    <col min="6686" max="6689" width="2.6640625" style="433" hidden="1" customWidth="1"/>
    <col min="6690" max="6695" width="2.33203125" style="433" hidden="1" customWidth="1"/>
    <col min="6696" max="6696" width="1.6640625" style="433" hidden="1" customWidth="1"/>
    <col min="6697" max="6912" width="2.6640625" style="433" hidden="1"/>
    <col min="6913" max="6913" width="1.6640625" style="433" hidden="1" customWidth="1"/>
    <col min="6914" max="6914" width="0.77734375" style="433" hidden="1" customWidth="1"/>
    <col min="6915" max="6930" width="2.6640625" style="433" hidden="1" customWidth="1"/>
    <col min="6931" max="6931" width="4" style="433" hidden="1" customWidth="1"/>
    <col min="6932" max="6935" width="2.6640625" style="433" hidden="1" customWidth="1"/>
    <col min="6936" max="6936" width="2.33203125" style="433" hidden="1" customWidth="1"/>
    <col min="6937" max="6940" width="2.6640625" style="433" hidden="1" customWidth="1"/>
    <col min="6941" max="6941" width="2.33203125" style="433" hidden="1" customWidth="1"/>
    <col min="6942" max="6945" width="2.6640625" style="433" hidden="1" customWidth="1"/>
    <col min="6946" max="6951" width="2.33203125" style="433" hidden="1" customWidth="1"/>
    <col min="6952" max="6952" width="1.6640625" style="433" hidden="1" customWidth="1"/>
    <col min="6953" max="7168" width="2.6640625" style="433" hidden="1"/>
    <col min="7169" max="7169" width="1.6640625" style="433" hidden="1" customWidth="1"/>
    <col min="7170" max="7170" width="0.77734375" style="433" hidden="1" customWidth="1"/>
    <col min="7171" max="7186" width="2.6640625" style="433" hidden="1" customWidth="1"/>
    <col min="7187" max="7187" width="4" style="433" hidden="1" customWidth="1"/>
    <col min="7188" max="7191" width="2.6640625" style="433" hidden="1" customWidth="1"/>
    <col min="7192" max="7192" width="2.33203125" style="433" hidden="1" customWidth="1"/>
    <col min="7193" max="7196" width="2.6640625" style="433" hidden="1" customWidth="1"/>
    <col min="7197" max="7197" width="2.33203125" style="433" hidden="1" customWidth="1"/>
    <col min="7198" max="7201" width="2.6640625" style="433" hidden="1" customWidth="1"/>
    <col min="7202" max="7207" width="2.33203125" style="433" hidden="1" customWidth="1"/>
    <col min="7208" max="7208" width="1.6640625" style="433" hidden="1" customWidth="1"/>
    <col min="7209" max="7424" width="2.6640625" style="433" hidden="1"/>
    <col min="7425" max="7425" width="1.6640625" style="433" hidden="1" customWidth="1"/>
    <col min="7426" max="7426" width="0.77734375" style="433" hidden="1" customWidth="1"/>
    <col min="7427" max="7442" width="2.6640625" style="433" hidden="1" customWidth="1"/>
    <col min="7443" max="7443" width="4" style="433" hidden="1" customWidth="1"/>
    <col min="7444" max="7447" width="2.6640625" style="433" hidden="1" customWidth="1"/>
    <col min="7448" max="7448" width="2.33203125" style="433" hidden="1" customWidth="1"/>
    <col min="7449" max="7452" width="2.6640625" style="433" hidden="1" customWidth="1"/>
    <col min="7453" max="7453" width="2.33203125" style="433" hidden="1" customWidth="1"/>
    <col min="7454" max="7457" width="2.6640625" style="433" hidden="1" customWidth="1"/>
    <col min="7458" max="7463" width="2.33203125" style="433" hidden="1" customWidth="1"/>
    <col min="7464" max="7464" width="1.6640625" style="433" hidden="1" customWidth="1"/>
    <col min="7465" max="7680" width="2.6640625" style="433" hidden="1"/>
    <col min="7681" max="7681" width="1.6640625" style="433" hidden="1" customWidth="1"/>
    <col min="7682" max="7682" width="0.77734375" style="433" hidden="1" customWidth="1"/>
    <col min="7683" max="7698" width="2.6640625" style="433" hidden="1" customWidth="1"/>
    <col min="7699" max="7699" width="4" style="433" hidden="1" customWidth="1"/>
    <col min="7700" max="7703" width="2.6640625" style="433" hidden="1" customWidth="1"/>
    <col min="7704" max="7704" width="2.33203125" style="433" hidden="1" customWidth="1"/>
    <col min="7705" max="7708" width="2.6640625" style="433" hidden="1" customWidth="1"/>
    <col min="7709" max="7709" width="2.33203125" style="433" hidden="1" customWidth="1"/>
    <col min="7710" max="7713" width="2.6640625" style="433" hidden="1" customWidth="1"/>
    <col min="7714" max="7719" width="2.33203125" style="433" hidden="1" customWidth="1"/>
    <col min="7720" max="7720" width="1.6640625" style="433" hidden="1" customWidth="1"/>
    <col min="7721" max="7936" width="2.6640625" style="433" hidden="1"/>
    <col min="7937" max="7937" width="1.6640625" style="433" hidden="1" customWidth="1"/>
    <col min="7938" max="7938" width="0.77734375" style="433" hidden="1" customWidth="1"/>
    <col min="7939" max="7954" width="2.6640625" style="433" hidden="1" customWidth="1"/>
    <col min="7955" max="7955" width="4" style="433" hidden="1" customWidth="1"/>
    <col min="7956" max="7959" width="2.6640625" style="433" hidden="1" customWidth="1"/>
    <col min="7960" max="7960" width="2.33203125" style="433" hidden="1" customWidth="1"/>
    <col min="7961" max="7964" width="2.6640625" style="433" hidden="1" customWidth="1"/>
    <col min="7965" max="7965" width="2.33203125" style="433" hidden="1" customWidth="1"/>
    <col min="7966" max="7969" width="2.6640625" style="433" hidden="1" customWidth="1"/>
    <col min="7970" max="7975" width="2.33203125" style="433" hidden="1" customWidth="1"/>
    <col min="7976" max="7976" width="1.6640625" style="433" hidden="1" customWidth="1"/>
    <col min="7977" max="8192" width="2.6640625" style="433" hidden="1"/>
    <col min="8193" max="8193" width="1.6640625" style="433" hidden="1" customWidth="1"/>
    <col min="8194" max="8194" width="0.77734375" style="433" hidden="1" customWidth="1"/>
    <col min="8195" max="8210" width="2.6640625" style="433" hidden="1" customWidth="1"/>
    <col min="8211" max="8211" width="4" style="433" hidden="1" customWidth="1"/>
    <col min="8212" max="8215" width="2.6640625" style="433" hidden="1" customWidth="1"/>
    <col min="8216" max="8216" width="2.33203125" style="433" hidden="1" customWidth="1"/>
    <col min="8217" max="8220" width="2.6640625" style="433" hidden="1" customWidth="1"/>
    <col min="8221" max="8221" width="2.33203125" style="433" hidden="1" customWidth="1"/>
    <col min="8222" max="8225" width="2.6640625" style="433" hidden="1" customWidth="1"/>
    <col min="8226" max="8231" width="2.33203125" style="433" hidden="1" customWidth="1"/>
    <col min="8232" max="8232" width="1.6640625" style="433" hidden="1" customWidth="1"/>
    <col min="8233" max="8448" width="2.6640625" style="433" hidden="1"/>
    <col min="8449" max="8449" width="1.6640625" style="433" hidden="1" customWidth="1"/>
    <col min="8450" max="8450" width="0.77734375" style="433" hidden="1" customWidth="1"/>
    <col min="8451" max="8466" width="2.6640625" style="433" hidden="1" customWidth="1"/>
    <col min="8467" max="8467" width="4" style="433" hidden="1" customWidth="1"/>
    <col min="8468" max="8471" width="2.6640625" style="433" hidden="1" customWidth="1"/>
    <col min="8472" max="8472" width="2.33203125" style="433" hidden="1" customWidth="1"/>
    <col min="8473" max="8476" width="2.6640625" style="433" hidden="1" customWidth="1"/>
    <col min="8477" max="8477" width="2.33203125" style="433" hidden="1" customWidth="1"/>
    <col min="8478" max="8481" width="2.6640625" style="433" hidden="1" customWidth="1"/>
    <col min="8482" max="8487" width="2.33203125" style="433" hidden="1" customWidth="1"/>
    <col min="8488" max="8488" width="1.6640625" style="433" hidden="1" customWidth="1"/>
    <col min="8489" max="8704" width="2.6640625" style="433" hidden="1"/>
    <col min="8705" max="8705" width="1.6640625" style="433" hidden="1" customWidth="1"/>
    <col min="8706" max="8706" width="0.77734375" style="433" hidden="1" customWidth="1"/>
    <col min="8707" max="8722" width="2.6640625" style="433" hidden="1" customWidth="1"/>
    <col min="8723" max="8723" width="4" style="433" hidden="1" customWidth="1"/>
    <col min="8724" max="8727" width="2.6640625" style="433" hidden="1" customWidth="1"/>
    <col min="8728" max="8728" width="2.33203125" style="433" hidden="1" customWidth="1"/>
    <col min="8729" max="8732" width="2.6640625" style="433" hidden="1" customWidth="1"/>
    <col min="8733" max="8733" width="2.33203125" style="433" hidden="1" customWidth="1"/>
    <col min="8734" max="8737" width="2.6640625" style="433" hidden="1" customWidth="1"/>
    <col min="8738" max="8743" width="2.33203125" style="433" hidden="1" customWidth="1"/>
    <col min="8744" max="8744" width="1.6640625" style="433" hidden="1" customWidth="1"/>
    <col min="8745" max="8960" width="2.6640625" style="433" hidden="1"/>
    <col min="8961" max="8961" width="1.6640625" style="433" hidden="1" customWidth="1"/>
    <col min="8962" max="8962" width="0.77734375" style="433" hidden="1" customWidth="1"/>
    <col min="8963" max="8978" width="2.6640625" style="433" hidden="1" customWidth="1"/>
    <col min="8979" max="8979" width="4" style="433" hidden="1" customWidth="1"/>
    <col min="8980" max="8983" width="2.6640625" style="433" hidden="1" customWidth="1"/>
    <col min="8984" max="8984" width="2.33203125" style="433" hidden="1" customWidth="1"/>
    <col min="8985" max="8988" width="2.6640625" style="433" hidden="1" customWidth="1"/>
    <col min="8989" max="8989" width="2.33203125" style="433" hidden="1" customWidth="1"/>
    <col min="8990" max="8993" width="2.6640625" style="433" hidden="1" customWidth="1"/>
    <col min="8994" max="8999" width="2.33203125" style="433" hidden="1" customWidth="1"/>
    <col min="9000" max="9000" width="1.6640625" style="433" hidden="1" customWidth="1"/>
    <col min="9001" max="9216" width="2.6640625" style="433" hidden="1"/>
    <col min="9217" max="9217" width="1.6640625" style="433" hidden="1" customWidth="1"/>
    <col min="9218" max="9218" width="0.77734375" style="433" hidden="1" customWidth="1"/>
    <col min="9219" max="9234" width="2.6640625" style="433" hidden="1" customWidth="1"/>
    <col min="9235" max="9235" width="4" style="433" hidden="1" customWidth="1"/>
    <col min="9236" max="9239" width="2.6640625" style="433" hidden="1" customWidth="1"/>
    <col min="9240" max="9240" width="2.33203125" style="433" hidden="1" customWidth="1"/>
    <col min="9241" max="9244" width="2.6640625" style="433" hidden="1" customWidth="1"/>
    <col min="9245" max="9245" width="2.33203125" style="433" hidden="1" customWidth="1"/>
    <col min="9246" max="9249" width="2.6640625" style="433" hidden="1" customWidth="1"/>
    <col min="9250" max="9255" width="2.33203125" style="433" hidden="1" customWidth="1"/>
    <col min="9256" max="9256" width="1.6640625" style="433" hidden="1" customWidth="1"/>
    <col min="9257" max="9472" width="2.6640625" style="433" hidden="1"/>
    <col min="9473" max="9473" width="1.6640625" style="433" hidden="1" customWidth="1"/>
    <col min="9474" max="9474" width="0.77734375" style="433" hidden="1" customWidth="1"/>
    <col min="9475" max="9490" width="2.6640625" style="433" hidden="1" customWidth="1"/>
    <col min="9491" max="9491" width="4" style="433" hidden="1" customWidth="1"/>
    <col min="9492" max="9495" width="2.6640625" style="433" hidden="1" customWidth="1"/>
    <col min="9496" max="9496" width="2.33203125" style="433" hidden="1" customWidth="1"/>
    <col min="9497" max="9500" width="2.6640625" style="433" hidden="1" customWidth="1"/>
    <col min="9501" max="9501" width="2.33203125" style="433" hidden="1" customWidth="1"/>
    <col min="9502" max="9505" width="2.6640625" style="433" hidden="1" customWidth="1"/>
    <col min="9506" max="9511" width="2.33203125" style="433" hidden="1" customWidth="1"/>
    <col min="9512" max="9512" width="1.6640625" style="433" hidden="1" customWidth="1"/>
    <col min="9513" max="9728" width="2.6640625" style="433" hidden="1"/>
    <col min="9729" max="9729" width="1.6640625" style="433" hidden="1" customWidth="1"/>
    <col min="9730" max="9730" width="0.77734375" style="433" hidden="1" customWidth="1"/>
    <col min="9731" max="9746" width="2.6640625" style="433" hidden="1" customWidth="1"/>
    <col min="9747" max="9747" width="4" style="433" hidden="1" customWidth="1"/>
    <col min="9748" max="9751" width="2.6640625" style="433" hidden="1" customWidth="1"/>
    <col min="9752" max="9752" width="2.33203125" style="433" hidden="1" customWidth="1"/>
    <col min="9753" max="9756" width="2.6640625" style="433" hidden="1" customWidth="1"/>
    <col min="9757" max="9757" width="2.33203125" style="433" hidden="1" customWidth="1"/>
    <col min="9758" max="9761" width="2.6640625" style="433" hidden="1" customWidth="1"/>
    <col min="9762" max="9767" width="2.33203125" style="433" hidden="1" customWidth="1"/>
    <col min="9768" max="9768" width="1.6640625" style="433" hidden="1" customWidth="1"/>
    <col min="9769" max="9984" width="2.6640625" style="433" hidden="1"/>
    <col min="9985" max="9985" width="1.6640625" style="433" hidden="1" customWidth="1"/>
    <col min="9986" max="9986" width="0.77734375" style="433" hidden="1" customWidth="1"/>
    <col min="9987" max="10002" width="2.6640625" style="433" hidden="1" customWidth="1"/>
    <col min="10003" max="10003" width="4" style="433" hidden="1" customWidth="1"/>
    <col min="10004" max="10007" width="2.6640625" style="433" hidden="1" customWidth="1"/>
    <col min="10008" max="10008" width="2.33203125" style="433" hidden="1" customWidth="1"/>
    <col min="10009" max="10012" width="2.6640625" style="433" hidden="1" customWidth="1"/>
    <col min="10013" max="10013" width="2.33203125" style="433" hidden="1" customWidth="1"/>
    <col min="10014" max="10017" width="2.6640625" style="433" hidden="1" customWidth="1"/>
    <col min="10018" max="10023" width="2.33203125" style="433" hidden="1" customWidth="1"/>
    <col min="10024" max="10024" width="1.6640625" style="433" hidden="1" customWidth="1"/>
    <col min="10025" max="10240" width="2.6640625" style="433" hidden="1"/>
    <col min="10241" max="10241" width="1.6640625" style="433" hidden="1" customWidth="1"/>
    <col min="10242" max="10242" width="0.77734375" style="433" hidden="1" customWidth="1"/>
    <col min="10243" max="10258" width="2.6640625" style="433" hidden="1" customWidth="1"/>
    <col min="10259" max="10259" width="4" style="433" hidden="1" customWidth="1"/>
    <col min="10260" max="10263" width="2.6640625" style="433" hidden="1" customWidth="1"/>
    <col min="10264" max="10264" width="2.33203125" style="433" hidden="1" customWidth="1"/>
    <col min="10265" max="10268" width="2.6640625" style="433" hidden="1" customWidth="1"/>
    <col min="10269" max="10269" width="2.33203125" style="433" hidden="1" customWidth="1"/>
    <col min="10270" max="10273" width="2.6640625" style="433" hidden="1" customWidth="1"/>
    <col min="10274" max="10279" width="2.33203125" style="433" hidden="1" customWidth="1"/>
    <col min="10280" max="10280" width="1.6640625" style="433" hidden="1" customWidth="1"/>
    <col min="10281" max="10496" width="2.6640625" style="433" hidden="1"/>
    <col min="10497" max="10497" width="1.6640625" style="433" hidden="1" customWidth="1"/>
    <col min="10498" max="10498" width="0.77734375" style="433" hidden="1" customWidth="1"/>
    <col min="10499" max="10514" width="2.6640625" style="433" hidden="1" customWidth="1"/>
    <col min="10515" max="10515" width="4" style="433" hidden="1" customWidth="1"/>
    <col min="10516" max="10519" width="2.6640625" style="433" hidden="1" customWidth="1"/>
    <col min="10520" max="10520" width="2.33203125" style="433" hidden="1" customWidth="1"/>
    <col min="10521" max="10524" width="2.6640625" style="433" hidden="1" customWidth="1"/>
    <col min="10525" max="10525" width="2.33203125" style="433" hidden="1" customWidth="1"/>
    <col min="10526" max="10529" width="2.6640625" style="433" hidden="1" customWidth="1"/>
    <col min="10530" max="10535" width="2.33203125" style="433" hidden="1" customWidth="1"/>
    <col min="10536" max="10536" width="1.6640625" style="433" hidden="1" customWidth="1"/>
    <col min="10537" max="10752" width="2.6640625" style="433" hidden="1"/>
    <col min="10753" max="10753" width="1.6640625" style="433" hidden="1" customWidth="1"/>
    <col min="10754" max="10754" width="0.77734375" style="433" hidden="1" customWidth="1"/>
    <col min="10755" max="10770" width="2.6640625" style="433" hidden="1" customWidth="1"/>
    <col min="10771" max="10771" width="4" style="433" hidden="1" customWidth="1"/>
    <col min="10772" max="10775" width="2.6640625" style="433" hidden="1" customWidth="1"/>
    <col min="10776" max="10776" width="2.33203125" style="433" hidden="1" customWidth="1"/>
    <col min="10777" max="10780" width="2.6640625" style="433" hidden="1" customWidth="1"/>
    <col min="10781" max="10781" width="2.33203125" style="433" hidden="1" customWidth="1"/>
    <col min="10782" max="10785" width="2.6640625" style="433" hidden="1" customWidth="1"/>
    <col min="10786" max="10791" width="2.33203125" style="433" hidden="1" customWidth="1"/>
    <col min="10792" max="10792" width="1.6640625" style="433" hidden="1" customWidth="1"/>
    <col min="10793" max="11008" width="2.6640625" style="433" hidden="1"/>
    <col min="11009" max="11009" width="1.6640625" style="433" hidden="1" customWidth="1"/>
    <col min="11010" max="11010" width="0.77734375" style="433" hidden="1" customWidth="1"/>
    <col min="11011" max="11026" width="2.6640625" style="433" hidden="1" customWidth="1"/>
    <col min="11027" max="11027" width="4" style="433" hidden="1" customWidth="1"/>
    <col min="11028" max="11031" width="2.6640625" style="433" hidden="1" customWidth="1"/>
    <col min="11032" max="11032" width="2.33203125" style="433" hidden="1" customWidth="1"/>
    <col min="11033" max="11036" width="2.6640625" style="433" hidden="1" customWidth="1"/>
    <col min="11037" max="11037" width="2.33203125" style="433" hidden="1" customWidth="1"/>
    <col min="11038" max="11041" width="2.6640625" style="433" hidden="1" customWidth="1"/>
    <col min="11042" max="11047" width="2.33203125" style="433" hidden="1" customWidth="1"/>
    <col min="11048" max="11048" width="1.6640625" style="433" hidden="1" customWidth="1"/>
    <col min="11049" max="11264" width="2.6640625" style="433" hidden="1"/>
    <col min="11265" max="11265" width="1.6640625" style="433" hidden="1" customWidth="1"/>
    <col min="11266" max="11266" width="0.77734375" style="433" hidden="1" customWidth="1"/>
    <col min="11267" max="11282" width="2.6640625" style="433" hidden="1" customWidth="1"/>
    <col min="11283" max="11283" width="4" style="433" hidden="1" customWidth="1"/>
    <col min="11284" max="11287" width="2.6640625" style="433" hidden="1" customWidth="1"/>
    <col min="11288" max="11288" width="2.33203125" style="433" hidden="1" customWidth="1"/>
    <col min="11289" max="11292" width="2.6640625" style="433" hidden="1" customWidth="1"/>
    <col min="11293" max="11293" width="2.33203125" style="433" hidden="1" customWidth="1"/>
    <col min="11294" max="11297" width="2.6640625" style="433" hidden="1" customWidth="1"/>
    <col min="11298" max="11303" width="2.33203125" style="433" hidden="1" customWidth="1"/>
    <col min="11304" max="11304" width="1.6640625" style="433" hidden="1" customWidth="1"/>
    <col min="11305" max="11520" width="2.6640625" style="433" hidden="1"/>
    <col min="11521" max="11521" width="1.6640625" style="433" hidden="1" customWidth="1"/>
    <col min="11522" max="11522" width="0.77734375" style="433" hidden="1" customWidth="1"/>
    <col min="11523" max="11538" width="2.6640625" style="433" hidden="1" customWidth="1"/>
    <col min="11539" max="11539" width="4" style="433" hidden="1" customWidth="1"/>
    <col min="11540" max="11543" width="2.6640625" style="433" hidden="1" customWidth="1"/>
    <col min="11544" max="11544" width="2.33203125" style="433" hidden="1" customWidth="1"/>
    <col min="11545" max="11548" width="2.6640625" style="433" hidden="1" customWidth="1"/>
    <col min="11549" max="11549" width="2.33203125" style="433" hidden="1" customWidth="1"/>
    <col min="11550" max="11553" width="2.6640625" style="433" hidden="1" customWidth="1"/>
    <col min="11554" max="11559" width="2.33203125" style="433" hidden="1" customWidth="1"/>
    <col min="11560" max="11560" width="1.6640625" style="433" hidden="1" customWidth="1"/>
    <col min="11561" max="11776" width="2.6640625" style="433" hidden="1"/>
    <col min="11777" max="11777" width="1.6640625" style="433" hidden="1" customWidth="1"/>
    <col min="11778" max="11778" width="0.77734375" style="433" hidden="1" customWidth="1"/>
    <col min="11779" max="11794" width="2.6640625" style="433" hidden="1" customWidth="1"/>
    <col min="11795" max="11795" width="4" style="433" hidden="1" customWidth="1"/>
    <col min="11796" max="11799" width="2.6640625" style="433" hidden="1" customWidth="1"/>
    <col min="11800" max="11800" width="2.33203125" style="433" hidden="1" customWidth="1"/>
    <col min="11801" max="11804" width="2.6640625" style="433" hidden="1" customWidth="1"/>
    <col min="11805" max="11805" width="2.33203125" style="433" hidden="1" customWidth="1"/>
    <col min="11806" max="11809" width="2.6640625" style="433" hidden="1" customWidth="1"/>
    <col min="11810" max="11815" width="2.33203125" style="433" hidden="1" customWidth="1"/>
    <col min="11816" max="11816" width="1.6640625" style="433" hidden="1" customWidth="1"/>
    <col min="11817" max="12032" width="2.6640625" style="433" hidden="1"/>
    <col min="12033" max="12033" width="1.6640625" style="433" hidden="1" customWidth="1"/>
    <col min="12034" max="12034" width="0.77734375" style="433" hidden="1" customWidth="1"/>
    <col min="12035" max="12050" width="2.6640625" style="433" hidden="1" customWidth="1"/>
    <col min="12051" max="12051" width="4" style="433" hidden="1" customWidth="1"/>
    <col min="12052" max="12055" width="2.6640625" style="433" hidden="1" customWidth="1"/>
    <col min="12056" max="12056" width="2.33203125" style="433" hidden="1" customWidth="1"/>
    <col min="12057" max="12060" width="2.6640625" style="433" hidden="1" customWidth="1"/>
    <col min="12061" max="12061" width="2.33203125" style="433" hidden="1" customWidth="1"/>
    <col min="12062" max="12065" width="2.6640625" style="433" hidden="1" customWidth="1"/>
    <col min="12066" max="12071" width="2.33203125" style="433" hidden="1" customWidth="1"/>
    <col min="12072" max="12072" width="1.6640625" style="433" hidden="1" customWidth="1"/>
    <col min="12073" max="12288" width="2.6640625" style="433" hidden="1"/>
    <col min="12289" max="12289" width="1.6640625" style="433" hidden="1" customWidth="1"/>
    <col min="12290" max="12290" width="0.77734375" style="433" hidden="1" customWidth="1"/>
    <col min="12291" max="12306" width="2.6640625" style="433" hidden="1" customWidth="1"/>
    <col min="12307" max="12307" width="4" style="433" hidden="1" customWidth="1"/>
    <col min="12308" max="12311" width="2.6640625" style="433" hidden="1" customWidth="1"/>
    <col min="12312" max="12312" width="2.33203125" style="433" hidden="1" customWidth="1"/>
    <col min="12313" max="12316" width="2.6640625" style="433" hidden="1" customWidth="1"/>
    <col min="12317" max="12317" width="2.33203125" style="433" hidden="1" customWidth="1"/>
    <col min="12318" max="12321" width="2.6640625" style="433" hidden="1" customWidth="1"/>
    <col min="12322" max="12327" width="2.33203125" style="433" hidden="1" customWidth="1"/>
    <col min="12328" max="12328" width="1.6640625" style="433" hidden="1" customWidth="1"/>
    <col min="12329" max="12544" width="2.6640625" style="433" hidden="1"/>
    <col min="12545" max="12545" width="1.6640625" style="433" hidden="1" customWidth="1"/>
    <col min="12546" max="12546" width="0.77734375" style="433" hidden="1" customWidth="1"/>
    <col min="12547" max="12562" width="2.6640625" style="433" hidden="1" customWidth="1"/>
    <col min="12563" max="12563" width="4" style="433" hidden="1" customWidth="1"/>
    <col min="12564" max="12567" width="2.6640625" style="433" hidden="1" customWidth="1"/>
    <col min="12568" max="12568" width="2.33203125" style="433" hidden="1" customWidth="1"/>
    <col min="12569" max="12572" width="2.6640625" style="433" hidden="1" customWidth="1"/>
    <col min="12573" max="12573" width="2.33203125" style="433" hidden="1" customWidth="1"/>
    <col min="12574" max="12577" width="2.6640625" style="433" hidden="1" customWidth="1"/>
    <col min="12578" max="12583" width="2.33203125" style="433" hidden="1" customWidth="1"/>
    <col min="12584" max="12584" width="1.6640625" style="433" hidden="1" customWidth="1"/>
    <col min="12585" max="12800" width="2.6640625" style="433" hidden="1"/>
    <col min="12801" max="12801" width="1.6640625" style="433" hidden="1" customWidth="1"/>
    <col min="12802" max="12802" width="0.77734375" style="433" hidden="1" customWidth="1"/>
    <col min="12803" max="12818" width="2.6640625" style="433" hidden="1" customWidth="1"/>
    <col min="12819" max="12819" width="4" style="433" hidden="1" customWidth="1"/>
    <col min="12820" max="12823" width="2.6640625" style="433" hidden="1" customWidth="1"/>
    <col min="12824" max="12824" width="2.33203125" style="433" hidden="1" customWidth="1"/>
    <col min="12825" max="12828" width="2.6640625" style="433" hidden="1" customWidth="1"/>
    <col min="12829" max="12829" width="2.33203125" style="433" hidden="1" customWidth="1"/>
    <col min="12830" max="12833" width="2.6640625" style="433" hidden="1" customWidth="1"/>
    <col min="12834" max="12839" width="2.33203125" style="433" hidden="1" customWidth="1"/>
    <col min="12840" max="12840" width="1.6640625" style="433" hidden="1" customWidth="1"/>
    <col min="12841" max="13056" width="2.6640625" style="433" hidden="1"/>
    <col min="13057" max="13057" width="1.6640625" style="433" hidden="1" customWidth="1"/>
    <col min="13058" max="13058" width="0.77734375" style="433" hidden="1" customWidth="1"/>
    <col min="13059" max="13074" width="2.6640625" style="433" hidden="1" customWidth="1"/>
    <col min="13075" max="13075" width="4" style="433" hidden="1" customWidth="1"/>
    <col min="13076" max="13079" width="2.6640625" style="433" hidden="1" customWidth="1"/>
    <col min="13080" max="13080" width="2.33203125" style="433" hidden="1" customWidth="1"/>
    <col min="13081" max="13084" width="2.6640625" style="433" hidden="1" customWidth="1"/>
    <col min="13085" max="13085" width="2.33203125" style="433" hidden="1" customWidth="1"/>
    <col min="13086" max="13089" width="2.6640625" style="433" hidden="1" customWidth="1"/>
    <col min="13090" max="13095" width="2.33203125" style="433" hidden="1" customWidth="1"/>
    <col min="13096" max="13096" width="1.6640625" style="433" hidden="1" customWidth="1"/>
    <col min="13097" max="13312" width="2.6640625" style="433" hidden="1"/>
    <col min="13313" max="13313" width="1.6640625" style="433" hidden="1" customWidth="1"/>
    <col min="13314" max="13314" width="0.77734375" style="433" hidden="1" customWidth="1"/>
    <col min="13315" max="13330" width="2.6640625" style="433" hidden="1" customWidth="1"/>
    <col min="13331" max="13331" width="4" style="433" hidden="1" customWidth="1"/>
    <col min="13332" max="13335" width="2.6640625" style="433" hidden="1" customWidth="1"/>
    <col min="13336" max="13336" width="2.33203125" style="433" hidden="1" customWidth="1"/>
    <col min="13337" max="13340" width="2.6640625" style="433" hidden="1" customWidth="1"/>
    <col min="13341" max="13341" width="2.33203125" style="433" hidden="1" customWidth="1"/>
    <col min="13342" max="13345" width="2.6640625" style="433" hidden="1" customWidth="1"/>
    <col min="13346" max="13351" width="2.33203125" style="433" hidden="1" customWidth="1"/>
    <col min="13352" max="13352" width="1.6640625" style="433" hidden="1" customWidth="1"/>
    <col min="13353" max="13568" width="2.6640625" style="433" hidden="1"/>
    <col min="13569" max="13569" width="1.6640625" style="433" hidden="1" customWidth="1"/>
    <col min="13570" max="13570" width="0.77734375" style="433" hidden="1" customWidth="1"/>
    <col min="13571" max="13586" width="2.6640625" style="433" hidden="1" customWidth="1"/>
    <col min="13587" max="13587" width="4" style="433" hidden="1" customWidth="1"/>
    <col min="13588" max="13591" width="2.6640625" style="433" hidden="1" customWidth="1"/>
    <col min="13592" max="13592" width="2.33203125" style="433" hidden="1" customWidth="1"/>
    <col min="13593" max="13596" width="2.6640625" style="433" hidden="1" customWidth="1"/>
    <col min="13597" max="13597" width="2.33203125" style="433" hidden="1" customWidth="1"/>
    <col min="13598" max="13601" width="2.6640625" style="433" hidden="1" customWidth="1"/>
    <col min="13602" max="13607" width="2.33203125" style="433" hidden="1" customWidth="1"/>
    <col min="13608" max="13608" width="1.6640625" style="433" hidden="1" customWidth="1"/>
    <col min="13609" max="13824" width="2.6640625" style="433" hidden="1"/>
    <col min="13825" max="13825" width="1.6640625" style="433" hidden="1" customWidth="1"/>
    <col min="13826" max="13826" width="0.77734375" style="433" hidden="1" customWidth="1"/>
    <col min="13827" max="13842" width="2.6640625" style="433" hidden="1" customWidth="1"/>
    <col min="13843" max="13843" width="4" style="433" hidden="1" customWidth="1"/>
    <col min="13844" max="13847" width="2.6640625" style="433" hidden="1" customWidth="1"/>
    <col min="13848" max="13848" width="2.33203125" style="433" hidden="1" customWidth="1"/>
    <col min="13849" max="13852" width="2.6640625" style="433" hidden="1" customWidth="1"/>
    <col min="13853" max="13853" width="2.33203125" style="433" hidden="1" customWidth="1"/>
    <col min="13854" max="13857" width="2.6640625" style="433" hidden="1" customWidth="1"/>
    <col min="13858" max="13863" width="2.33203125" style="433" hidden="1" customWidth="1"/>
    <col min="13864" max="13864" width="1.6640625" style="433" hidden="1" customWidth="1"/>
    <col min="13865" max="14080" width="2.6640625" style="433" hidden="1"/>
    <col min="14081" max="14081" width="1.6640625" style="433" hidden="1" customWidth="1"/>
    <col min="14082" max="14082" width="0.77734375" style="433" hidden="1" customWidth="1"/>
    <col min="14083" max="14098" width="2.6640625" style="433" hidden="1" customWidth="1"/>
    <col min="14099" max="14099" width="4" style="433" hidden="1" customWidth="1"/>
    <col min="14100" max="14103" width="2.6640625" style="433" hidden="1" customWidth="1"/>
    <col min="14104" max="14104" width="2.33203125" style="433" hidden="1" customWidth="1"/>
    <col min="14105" max="14108" width="2.6640625" style="433" hidden="1" customWidth="1"/>
    <col min="14109" max="14109" width="2.33203125" style="433" hidden="1" customWidth="1"/>
    <col min="14110" max="14113" width="2.6640625" style="433" hidden="1" customWidth="1"/>
    <col min="14114" max="14119" width="2.33203125" style="433" hidden="1" customWidth="1"/>
    <col min="14120" max="14120" width="1.6640625" style="433" hidden="1" customWidth="1"/>
    <col min="14121" max="14336" width="2.6640625" style="433" hidden="1"/>
    <col min="14337" max="14337" width="1.6640625" style="433" hidden="1" customWidth="1"/>
    <col min="14338" max="14338" width="0.77734375" style="433" hidden="1" customWidth="1"/>
    <col min="14339" max="14354" width="2.6640625" style="433" hidden="1" customWidth="1"/>
    <col min="14355" max="14355" width="4" style="433" hidden="1" customWidth="1"/>
    <col min="14356" max="14359" width="2.6640625" style="433" hidden="1" customWidth="1"/>
    <col min="14360" max="14360" width="2.33203125" style="433" hidden="1" customWidth="1"/>
    <col min="14361" max="14364" width="2.6640625" style="433" hidden="1" customWidth="1"/>
    <col min="14365" max="14365" width="2.33203125" style="433" hidden="1" customWidth="1"/>
    <col min="14366" max="14369" width="2.6640625" style="433" hidden="1" customWidth="1"/>
    <col min="14370" max="14375" width="2.33203125" style="433" hidden="1" customWidth="1"/>
    <col min="14376" max="14376" width="1.6640625" style="433" hidden="1" customWidth="1"/>
    <col min="14377" max="14592" width="2.6640625" style="433" hidden="1"/>
    <col min="14593" max="14593" width="1.6640625" style="433" hidden="1" customWidth="1"/>
    <col min="14594" max="14594" width="0.77734375" style="433" hidden="1" customWidth="1"/>
    <col min="14595" max="14610" width="2.6640625" style="433" hidden="1" customWidth="1"/>
    <col min="14611" max="14611" width="4" style="433" hidden="1" customWidth="1"/>
    <col min="14612" max="14615" width="2.6640625" style="433" hidden="1" customWidth="1"/>
    <col min="14616" max="14616" width="2.33203125" style="433" hidden="1" customWidth="1"/>
    <col min="14617" max="14620" width="2.6640625" style="433" hidden="1" customWidth="1"/>
    <col min="14621" max="14621" width="2.33203125" style="433" hidden="1" customWidth="1"/>
    <col min="14622" max="14625" width="2.6640625" style="433" hidden="1" customWidth="1"/>
    <col min="14626" max="14631" width="2.33203125" style="433" hidden="1" customWidth="1"/>
    <col min="14632" max="14632" width="1.6640625" style="433" hidden="1" customWidth="1"/>
    <col min="14633" max="14848" width="2.6640625" style="433" hidden="1"/>
    <col min="14849" max="14849" width="1.6640625" style="433" hidden="1" customWidth="1"/>
    <col min="14850" max="14850" width="0.77734375" style="433" hidden="1" customWidth="1"/>
    <col min="14851" max="14866" width="2.6640625" style="433" hidden="1" customWidth="1"/>
    <col min="14867" max="14867" width="4" style="433" hidden="1" customWidth="1"/>
    <col min="14868" max="14871" width="2.6640625" style="433" hidden="1" customWidth="1"/>
    <col min="14872" max="14872" width="2.33203125" style="433" hidden="1" customWidth="1"/>
    <col min="14873" max="14876" width="2.6640625" style="433" hidden="1" customWidth="1"/>
    <col min="14877" max="14877" width="2.33203125" style="433" hidden="1" customWidth="1"/>
    <col min="14878" max="14881" width="2.6640625" style="433" hidden="1" customWidth="1"/>
    <col min="14882" max="14887" width="2.33203125" style="433" hidden="1" customWidth="1"/>
    <col min="14888" max="14888" width="1.6640625" style="433" hidden="1" customWidth="1"/>
    <col min="14889" max="15104" width="2.6640625" style="433" hidden="1"/>
    <col min="15105" max="15105" width="1.6640625" style="433" hidden="1" customWidth="1"/>
    <col min="15106" max="15106" width="0.77734375" style="433" hidden="1" customWidth="1"/>
    <col min="15107" max="15122" width="2.6640625" style="433" hidden="1" customWidth="1"/>
    <col min="15123" max="15123" width="4" style="433" hidden="1" customWidth="1"/>
    <col min="15124" max="15127" width="2.6640625" style="433" hidden="1" customWidth="1"/>
    <col min="15128" max="15128" width="2.33203125" style="433" hidden="1" customWidth="1"/>
    <col min="15129" max="15132" width="2.6640625" style="433" hidden="1" customWidth="1"/>
    <col min="15133" max="15133" width="2.33203125" style="433" hidden="1" customWidth="1"/>
    <col min="15134" max="15137" width="2.6640625" style="433" hidden="1" customWidth="1"/>
    <col min="15138" max="15143" width="2.33203125" style="433" hidden="1" customWidth="1"/>
    <col min="15144" max="15144" width="1.6640625" style="433" hidden="1" customWidth="1"/>
    <col min="15145" max="15360" width="2.6640625" style="433" hidden="1"/>
    <col min="15361" max="15361" width="1.6640625" style="433" hidden="1" customWidth="1"/>
    <col min="15362" max="15362" width="0.77734375" style="433" hidden="1" customWidth="1"/>
    <col min="15363" max="15378" width="2.6640625" style="433" hidden="1" customWidth="1"/>
    <col min="15379" max="15379" width="4" style="433" hidden="1" customWidth="1"/>
    <col min="15380" max="15383" width="2.6640625" style="433" hidden="1" customWidth="1"/>
    <col min="15384" max="15384" width="2.33203125" style="433" hidden="1" customWidth="1"/>
    <col min="15385" max="15388" width="2.6640625" style="433" hidden="1" customWidth="1"/>
    <col min="15389" max="15389" width="2.33203125" style="433" hidden="1" customWidth="1"/>
    <col min="15390" max="15393" width="2.6640625" style="433" hidden="1" customWidth="1"/>
    <col min="15394" max="15399" width="2.33203125" style="433" hidden="1" customWidth="1"/>
    <col min="15400" max="15400" width="1.6640625" style="433" hidden="1" customWidth="1"/>
    <col min="15401" max="15616" width="2.6640625" style="433" hidden="1"/>
    <col min="15617" max="15617" width="1.6640625" style="433" hidden="1" customWidth="1"/>
    <col min="15618" max="15618" width="0.77734375" style="433" hidden="1" customWidth="1"/>
    <col min="15619" max="15634" width="2.6640625" style="433" hidden="1" customWidth="1"/>
    <col min="15635" max="15635" width="4" style="433" hidden="1" customWidth="1"/>
    <col min="15636" max="15639" width="2.6640625" style="433" hidden="1" customWidth="1"/>
    <col min="15640" max="15640" width="2.33203125" style="433" hidden="1" customWidth="1"/>
    <col min="15641" max="15644" width="2.6640625" style="433" hidden="1" customWidth="1"/>
    <col min="15645" max="15645" width="2.33203125" style="433" hidden="1" customWidth="1"/>
    <col min="15646" max="15649" width="2.6640625" style="433" hidden="1" customWidth="1"/>
    <col min="15650" max="15655" width="2.33203125" style="433" hidden="1" customWidth="1"/>
    <col min="15656" max="15656" width="1.6640625" style="433" hidden="1" customWidth="1"/>
    <col min="15657" max="15872" width="2.6640625" style="433" hidden="1"/>
    <col min="15873" max="15873" width="1.6640625" style="433" hidden="1" customWidth="1"/>
    <col min="15874" max="15874" width="0.77734375" style="433" hidden="1" customWidth="1"/>
    <col min="15875" max="15890" width="2.6640625" style="433" hidden="1" customWidth="1"/>
    <col min="15891" max="15891" width="4" style="433" hidden="1" customWidth="1"/>
    <col min="15892" max="15895" width="2.6640625" style="433" hidden="1" customWidth="1"/>
    <col min="15896" max="15896" width="2.33203125" style="433" hidden="1" customWidth="1"/>
    <col min="15897" max="15900" width="2.6640625" style="433" hidden="1" customWidth="1"/>
    <col min="15901" max="15901" width="2.33203125" style="433" hidden="1" customWidth="1"/>
    <col min="15902" max="15905" width="2.6640625" style="433" hidden="1" customWidth="1"/>
    <col min="15906" max="15911" width="2.33203125" style="433" hidden="1" customWidth="1"/>
    <col min="15912" max="15912" width="1.6640625" style="433" hidden="1" customWidth="1"/>
    <col min="15913" max="16128" width="2.6640625" style="433" hidden="1"/>
    <col min="16129" max="16129" width="1.6640625" style="433" hidden="1" customWidth="1"/>
    <col min="16130" max="16130" width="0.77734375" style="433" hidden="1" customWidth="1"/>
    <col min="16131" max="16146" width="2.6640625" style="433" hidden="1" customWidth="1"/>
    <col min="16147" max="16147" width="4" style="433" hidden="1" customWidth="1"/>
    <col min="16148" max="16151" width="2.6640625" style="433" hidden="1" customWidth="1"/>
    <col min="16152" max="16152" width="2.33203125" style="433" hidden="1" customWidth="1"/>
    <col min="16153" max="16156" width="2.6640625" style="433" hidden="1" customWidth="1"/>
    <col min="16157" max="16157" width="2.33203125" style="433" hidden="1" customWidth="1"/>
    <col min="16158" max="16161" width="2.6640625" style="433" hidden="1" customWidth="1"/>
    <col min="16162" max="16167" width="2.33203125" style="433" hidden="1" customWidth="1"/>
    <col min="16168" max="16168" width="1.6640625" style="433" hidden="1" customWidth="1"/>
    <col min="16169" max="16384" width="2.6640625" style="433" hidden="1"/>
  </cols>
  <sheetData>
    <row r="1" spans="1:40" ht="13.05" customHeight="1">
      <c r="A1" s="2691" t="s">
        <v>1387</v>
      </c>
      <c r="B1" s="2691"/>
      <c r="C1" s="2691"/>
      <c r="D1" s="2691"/>
      <c r="E1" s="2691"/>
      <c r="F1" s="2691"/>
      <c r="G1" s="2691"/>
      <c r="H1" s="2691"/>
      <c r="I1" s="2691"/>
      <c r="J1" s="2691"/>
      <c r="K1" s="2691"/>
      <c r="L1" s="2691"/>
      <c r="M1" s="2691"/>
      <c r="N1" s="2691"/>
      <c r="O1" s="2691"/>
      <c r="P1" s="2691"/>
      <c r="Q1" s="2691"/>
      <c r="R1" s="2691"/>
      <c r="S1" s="2691"/>
      <c r="T1" s="2691"/>
      <c r="U1" s="2691"/>
      <c r="V1" s="2691"/>
      <c r="W1" s="2691"/>
      <c r="X1" s="2691"/>
      <c r="Y1" s="2691"/>
      <c r="Z1" s="2691"/>
      <c r="AA1" s="2691"/>
      <c r="AB1" s="2691"/>
      <c r="AC1" s="2691"/>
      <c r="AD1" s="2691"/>
      <c r="AE1" s="2691"/>
      <c r="AF1" s="2691"/>
      <c r="AG1" s="2691"/>
      <c r="AH1" s="2691"/>
      <c r="AI1" s="2691"/>
      <c r="AJ1" s="2691"/>
      <c r="AK1" s="2691"/>
      <c r="AL1" s="2691"/>
      <c r="AM1" s="2691"/>
      <c r="AN1" s="2691"/>
    </row>
    <row r="2" spans="1:40" ht="13.05" customHeight="1" thickBot="1">
      <c r="A2" s="2692"/>
      <c r="B2" s="2692"/>
      <c r="C2" s="2692"/>
      <c r="D2" s="2692"/>
      <c r="E2" s="2692"/>
      <c r="F2" s="2692"/>
      <c r="G2" s="2692"/>
      <c r="H2" s="2692"/>
      <c r="I2" s="2692"/>
      <c r="J2" s="2692"/>
      <c r="K2" s="2692"/>
      <c r="L2" s="2692"/>
      <c r="M2" s="2692"/>
      <c r="N2" s="2692"/>
      <c r="O2" s="2692"/>
      <c r="P2" s="2692"/>
      <c r="Q2" s="2692"/>
      <c r="R2" s="2692"/>
      <c r="S2" s="2692"/>
      <c r="T2" s="2692"/>
      <c r="U2" s="2692"/>
      <c r="V2" s="2692"/>
      <c r="W2" s="2692"/>
      <c r="X2" s="2692"/>
      <c r="Y2" s="2692"/>
      <c r="Z2" s="2692"/>
      <c r="AA2" s="2692"/>
      <c r="AB2" s="2692"/>
      <c r="AC2" s="2692"/>
      <c r="AD2" s="2692"/>
      <c r="AE2" s="2692"/>
      <c r="AF2" s="2692"/>
      <c r="AG2" s="2692"/>
      <c r="AH2" s="2692"/>
      <c r="AI2" s="2692"/>
      <c r="AJ2" s="2692"/>
      <c r="AK2" s="2692"/>
      <c r="AL2" s="2692"/>
      <c r="AM2" s="2692"/>
      <c r="AN2" s="2692"/>
    </row>
    <row r="3" spans="1:40" ht="13.0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05" customHeight="1">
      <c r="A4" s="435"/>
    </row>
    <row r="5" spans="1:40" ht="13.05" customHeight="1">
      <c r="A5" s="435" t="s">
        <v>320</v>
      </c>
      <c r="C5" s="435" t="s">
        <v>122</v>
      </c>
      <c r="F5" s="435"/>
    </row>
    <row r="6" spans="1:40" ht="13.05" customHeight="1">
      <c r="A6" s="435"/>
      <c r="C6" s="433" t="s">
        <v>1344</v>
      </c>
    </row>
    <row r="7" spans="1:40" ht="13.05" customHeight="1">
      <c r="B7" s="436"/>
      <c r="C7" s="437"/>
      <c r="D7" s="437"/>
      <c r="E7" s="437"/>
      <c r="F7" s="437"/>
      <c r="G7" s="437"/>
      <c r="H7" s="437"/>
      <c r="I7" s="437"/>
      <c r="J7" s="437"/>
      <c r="K7" s="437"/>
      <c r="L7" s="437"/>
      <c r="M7" s="437"/>
      <c r="N7" s="437"/>
      <c r="O7" s="437"/>
      <c r="P7" s="437"/>
      <c r="Q7" s="437"/>
      <c r="R7" s="437"/>
      <c r="S7" s="437"/>
      <c r="T7" s="2671" t="str">
        <f xml:space="preserve"> IF(T25=100%,'Sources and Basis Breakdown'!G2,'Sources and Basis Breakdown'!F2)</f>
        <v>30% PVC for New Const/
Rehabilitation
DDA/QCT
Building(s)</v>
      </c>
      <c r="U7" s="2671"/>
      <c r="V7" s="2671"/>
      <c r="W7" s="2671"/>
      <c r="X7" s="2671"/>
      <c r="Y7" s="2671" t="str">
        <f>IF(T25=100%,"",'Sources and Basis Breakdown'!G2)</f>
        <v>30% PVC for New Const/
Rehabilitation
NON-DDA/
NON-QCT Building(s)</v>
      </c>
      <c r="Z7" s="2671"/>
      <c r="AA7" s="2671"/>
      <c r="AB7" s="2671"/>
      <c r="AC7" s="2671"/>
      <c r="AD7" s="2671" t="str">
        <f xml:space="preserve"> IF(T25=100%, 'Sources and Basis Breakdown'!J2,'Sources and Basis Breakdown'!I2)</f>
        <v>30% PVC for Acquisition
DDA/QCT Building(s)</v>
      </c>
      <c r="AE7" s="2671"/>
      <c r="AF7" s="2671"/>
      <c r="AG7" s="2671"/>
      <c r="AH7" s="2671"/>
      <c r="AI7" s="2671" t="str">
        <f>IF(T25=100%,"",'Sources and Basis Breakdown'!J2)</f>
        <v>30% PVC for Acquisition
NON-DDA/
NON-QCT Building(s)</v>
      </c>
      <c r="AJ7" s="2671"/>
      <c r="AK7" s="2671"/>
      <c r="AL7" s="2671"/>
      <c r="AM7" s="2671"/>
    </row>
    <row r="8" spans="1:40" ht="13.05" customHeight="1">
      <c r="B8" s="438"/>
      <c r="T8" s="2671"/>
      <c r="U8" s="2671"/>
      <c r="V8" s="2671"/>
      <c r="W8" s="2671"/>
      <c r="X8" s="2671"/>
      <c r="Y8" s="2671"/>
      <c r="Z8" s="2671"/>
      <c r="AA8" s="2671"/>
      <c r="AB8" s="2671"/>
      <c r="AC8" s="2671"/>
      <c r="AD8" s="2671"/>
      <c r="AE8" s="2671"/>
      <c r="AF8" s="2671"/>
      <c r="AG8" s="2671"/>
      <c r="AH8" s="2671"/>
      <c r="AI8" s="2671"/>
      <c r="AJ8" s="2671"/>
      <c r="AK8" s="2671"/>
      <c r="AL8" s="2671"/>
      <c r="AM8" s="2671"/>
    </row>
    <row r="9" spans="1:40" ht="13.05" customHeight="1">
      <c r="B9" s="438"/>
      <c r="T9" s="2671"/>
      <c r="U9" s="2671"/>
      <c r="V9" s="2671"/>
      <c r="W9" s="2671"/>
      <c r="X9" s="2671"/>
      <c r="Y9" s="2671"/>
      <c r="Z9" s="2671"/>
      <c r="AA9" s="2671"/>
      <c r="AB9" s="2671"/>
      <c r="AC9" s="2671"/>
      <c r="AD9" s="2671"/>
      <c r="AE9" s="2671"/>
      <c r="AF9" s="2671"/>
      <c r="AG9" s="2671"/>
      <c r="AH9" s="2671"/>
      <c r="AI9" s="2671"/>
      <c r="AJ9" s="2671"/>
      <c r="AK9" s="2671"/>
      <c r="AL9" s="2671"/>
      <c r="AM9" s="2671"/>
    </row>
    <row r="10" spans="1:40" ht="13.05" customHeight="1">
      <c r="B10" s="439"/>
      <c r="C10" s="440"/>
      <c r="D10" s="440"/>
      <c r="E10" s="440"/>
      <c r="F10" s="440"/>
      <c r="G10" s="440"/>
      <c r="H10" s="440"/>
      <c r="I10" s="440"/>
      <c r="J10" s="440"/>
      <c r="K10" s="440"/>
      <c r="L10" s="440"/>
      <c r="M10" s="440"/>
      <c r="N10" s="440"/>
      <c r="O10" s="440"/>
      <c r="P10" s="440"/>
      <c r="Q10" s="440"/>
      <c r="R10" s="440"/>
      <c r="S10" s="440"/>
      <c r="T10" s="2671"/>
      <c r="U10" s="2671"/>
      <c r="V10" s="2671"/>
      <c r="W10" s="2671"/>
      <c r="X10" s="2671"/>
      <c r="Y10" s="2671"/>
      <c r="Z10" s="2671"/>
      <c r="AA10" s="2671"/>
      <c r="AB10" s="2671"/>
      <c r="AC10" s="2671"/>
      <c r="AD10" s="2671"/>
      <c r="AE10" s="2671"/>
      <c r="AF10" s="2671"/>
      <c r="AG10" s="2671"/>
      <c r="AH10" s="2671"/>
      <c r="AI10" s="2671"/>
      <c r="AJ10" s="2671"/>
      <c r="AK10" s="2671"/>
      <c r="AL10" s="2671"/>
      <c r="AM10" s="2671"/>
    </row>
    <row r="11" spans="1:40" ht="13.05" customHeight="1">
      <c r="B11" s="2654" t="s">
        <v>376</v>
      </c>
      <c r="C11" s="2655"/>
      <c r="D11" s="2655"/>
      <c r="E11" s="2655"/>
      <c r="F11" s="2655"/>
      <c r="G11" s="2655"/>
      <c r="H11" s="2655"/>
      <c r="I11" s="2655"/>
      <c r="J11" s="2655"/>
      <c r="K11" s="2655"/>
      <c r="L11" s="2655"/>
      <c r="M11" s="2655"/>
      <c r="N11" s="2655"/>
      <c r="O11" s="2655"/>
      <c r="P11" s="2655"/>
      <c r="Q11" s="2655"/>
      <c r="R11" s="2655"/>
      <c r="S11" s="2656"/>
      <c r="T11" s="2693">
        <f>IF('Sources and Basis Breakdown'!F107=0,'Sources and Basis Breakdown'!E107,'Sources and Basis Breakdown'!F107)</f>
        <v>74929187.599999994</v>
      </c>
      <c r="U11" s="2694"/>
      <c r="V11" s="2694"/>
      <c r="W11" s="2694"/>
      <c r="X11" s="2694"/>
      <c r="Y11" s="2693">
        <f>IF(Y7="",0,IF('Sources and Basis Breakdown'!G107+'Sources and Basis Breakdown'!F107='Sources and Basis Breakdown'!E107,'Sources and Basis Breakdown'!G107,0))</f>
        <v>0</v>
      </c>
      <c r="Z11" s="2694"/>
      <c r="AA11" s="2694"/>
      <c r="AB11" s="2694"/>
      <c r="AC11" s="2694"/>
      <c r="AD11" s="2694">
        <f>IF('Sources and Basis Breakdown'!I107=0,'Sources and Basis Breakdown'!H107,'Sources and Basis Breakdown'!I107)</f>
        <v>0</v>
      </c>
      <c r="AE11" s="2694"/>
      <c r="AF11" s="2694"/>
      <c r="AG11" s="2694"/>
      <c r="AH11" s="2694"/>
      <c r="AI11" s="2694">
        <f>IF(Y7="",0,IF('Sources and Basis Breakdown'!I107+'Sources and Basis Breakdown'!J107='Sources and Basis Breakdown'!H107,'Sources and Basis Breakdown'!J107,0))</f>
        <v>0</v>
      </c>
      <c r="AJ11" s="2694"/>
      <c r="AK11" s="2694"/>
      <c r="AL11" s="2694"/>
      <c r="AM11" s="2694"/>
    </row>
    <row r="12" spans="1:40" ht="13.05" customHeight="1">
      <c r="B12" s="2695" t="s">
        <v>505</v>
      </c>
      <c r="C12" s="1283"/>
      <c r="D12" s="1283"/>
      <c r="E12" s="1283"/>
      <c r="F12" s="1283"/>
      <c r="G12" s="1283"/>
      <c r="H12" s="1283"/>
      <c r="I12" s="1283"/>
      <c r="J12" s="1283"/>
      <c r="K12" s="1283"/>
      <c r="L12" s="1283"/>
      <c r="M12" s="1283"/>
      <c r="N12" s="1283"/>
      <c r="O12" s="1283"/>
      <c r="P12" s="1283"/>
      <c r="Q12" s="1283"/>
      <c r="R12" s="1283"/>
      <c r="S12" s="2696"/>
      <c r="T12" s="2686"/>
      <c r="U12" s="2687"/>
      <c r="V12" s="2687"/>
      <c r="W12" s="2687"/>
      <c r="X12" s="2688"/>
      <c r="Y12" s="2686"/>
      <c r="Z12" s="2687"/>
      <c r="AA12" s="2687"/>
      <c r="AB12" s="2687"/>
      <c r="AC12" s="2688"/>
      <c r="AD12" s="2686"/>
      <c r="AE12" s="2687"/>
      <c r="AF12" s="2687"/>
      <c r="AG12" s="2687"/>
      <c r="AH12" s="2688"/>
      <c r="AI12" s="2686"/>
      <c r="AJ12" s="2687"/>
      <c r="AK12" s="2687"/>
      <c r="AL12" s="2687"/>
      <c r="AM12" s="2688"/>
    </row>
    <row r="13" spans="1:40" ht="13.05" customHeight="1">
      <c r="B13" s="467"/>
      <c r="C13" s="2697" t="s">
        <v>506</v>
      </c>
      <c r="D13" s="2697"/>
      <c r="E13" s="2697"/>
      <c r="F13" s="2697"/>
      <c r="G13" s="2697"/>
      <c r="H13" s="2697"/>
      <c r="I13" s="2697"/>
      <c r="J13" s="2697"/>
      <c r="K13" s="2697"/>
      <c r="L13" s="2697"/>
      <c r="M13" s="2697"/>
      <c r="N13" s="2697"/>
      <c r="O13" s="2697"/>
      <c r="P13" s="2697"/>
      <c r="Q13" s="2697"/>
      <c r="R13" s="2697"/>
      <c r="S13" s="2698"/>
      <c r="T13" s="2689"/>
      <c r="U13" s="2690"/>
      <c r="V13" s="2690"/>
      <c r="W13" s="2690"/>
      <c r="X13" s="2690"/>
      <c r="Y13" s="2689"/>
      <c r="Z13" s="2690"/>
      <c r="AA13" s="2690"/>
      <c r="AB13" s="2690"/>
      <c r="AC13" s="2690"/>
      <c r="AD13" s="2690"/>
      <c r="AE13" s="2690"/>
      <c r="AF13" s="2690"/>
      <c r="AG13" s="2690"/>
      <c r="AH13" s="2690"/>
      <c r="AI13" s="2690"/>
      <c r="AJ13" s="2690"/>
      <c r="AK13" s="2690"/>
      <c r="AL13" s="2690"/>
      <c r="AM13" s="2690"/>
    </row>
    <row r="14" spans="1:40" ht="13.05" customHeight="1">
      <c r="B14" s="467"/>
      <c r="C14" s="2697" t="s">
        <v>507</v>
      </c>
      <c r="D14" s="2697"/>
      <c r="E14" s="2697"/>
      <c r="F14" s="2697"/>
      <c r="G14" s="2697"/>
      <c r="H14" s="2697"/>
      <c r="I14" s="2697"/>
      <c r="J14" s="2697"/>
      <c r="K14" s="2697"/>
      <c r="L14" s="2697"/>
      <c r="M14" s="2697"/>
      <c r="N14" s="2697"/>
      <c r="O14" s="2697"/>
      <c r="P14" s="2697"/>
      <c r="Q14" s="2697"/>
      <c r="R14" s="2697"/>
      <c r="S14" s="2698"/>
      <c r="T14" s="2679"/>
      <c r="U14" s="2680"/>
      <c r="V14" s="2680"/>
      <c r="W14" s="2680"/>
      <c r="X14" s="2680"/>
      <c r="Y14" s="2679"/>
      <c r="Z14" s="2680"/>
      <c r="AA14" s="2680"/>
      <c r="AB14" s="2680"/>
      <c r="AC14" s="2680"/>
      <c r="AD14" s="2680"/>
      <c r="AE14" s="2680"/>
      <c r="AF14" s="2680"/>
      <c r="AG14" s="2680"/>
      <c r="AH14" s="2680"/>
      <c r="AI14" s="2680"/>
      <c r="AJ14" s="2680"/>
      <c r="AK14" s="2680"/>
      <c r="AL14" s="2680"/>
      <c r="AM14" s="2680"/>
    </row>
    <row r="15" spans="1:40" ht="13.05" customHeight="1">
      <c r="B15" s="467"/>
      <c r="C15" s="2697" t="s">
        <v>508</v>
      </c>
      <c r="D15" s="2697"/>
      <c r="E15" s="2697"/>
      <c r="F15" s="2697"/>
      <c r="G15" s="2697"/>
      <c r="H15" s="2697"/>
      <c r="I15" s="2697"/>
      <c r="J15" s="2697"/>
      <c r="K15" s="2697"/>
      <c r="L15" s="2697"/>
      <c r="M15" s="2697"/>
      <c r="N15" s="2697"/>
      <c r="O15" s="2697"/>
      <c r="P15" s="2697"/>
      <c r="Q15" s="2697"/>
      <c r="R15" s="2697"/>
      <c r="S15" s="2698"/>
      <c r="T15" s="2679"/>
      <c r="U15" s="2680"/>
      <c r="V15" s="2680"/>
      <c r="W15" s="2680"/>
      <c r="X15" s="2680"/>
      <c r="Y15" s="2679"/>
      <c r="Z15" s="2680"/>
      <c r="AA15" s="2680"/>
      <c r="AB15" s="2680"/>
      <c r="AC15" s="2680"/>
      <c r="AD15" s="2680"/>
      <c r="AE15" s="2680"/>
      <c r="AF15" s="2680"/>
      <c r="AG15" s="2680"/>
      <c r="AH15" s="2680"/>
      <c r="AI15" s="2680"/>
      <c r="AJ15" s="2680"/>
      <c r="AK15" s="2680"/>
      <c r="AL15" s="2680"/>
      <c r="AM15" s="2680"/>
    </row>
    <row r="16" spans="1:40" ht="13.05" customHeight="1">
      <c r="B16" s="467"/>
      <c r="C16" s="2697" t="s">
        <v>813</v>
      </c>
      <c r="D16" s="2697"/>
      <c r="E16" s="2697"/>
      <c r="F16" s="2697"/>
      <c r="G16" s="2697"/>
      <c r="H16" s="2697"/>
      <c r="I16" s="2697"/>
      <c r="J16" s="2697"/>
      <c r="K16" s="2697"/>
      <c r="L16" s="2697"/>
      <c r="M16" s="2697"/>
      <c r="N16" s="2697"/>
      <c r="O16" s="2697"/>
      <c r="P16" s="2697"/>
      <c r="Q16" s="2697"/>
      <c r="R16" s="2697"/>
      <c r="S16" s="2698"/>
      <c r="T16" s="2679"/>
      <c r="U16" s="2680"/>
      <c r="V16" s="2680"/>
      <c r="W16" s="2680"/>
      <c r="X16" s="2680"/>
      <c r="Y16" s="2679"/>
      <c r="Z16" s="2680"/>
      <c r="AA16" s="2680"/>
      <c r="AB16" s="2680"/>
      <c r="AC16" s="2680"/>
      <c r="AD16" s="2680"/>
      <c r="AE16" s="2680"/>
      <c r="AF16" s="2680"/>
      <c r="AG16" s="2680"/>
      <c r="AH16" s="2680"/>
      <c r="AI16" s="2680"/>
      <c r="AJ16" s="2680"/>
      <c r="AK16" s="2680"/>
      <c r="AL16" s="2680"/>
      <c r="AM16" s="2680"/>
    </row>
    <row r="17" spans="1:40" ht="13.05" customHeight="1">
      <c r="B17" s="467"/>
      <c r="C17" s="2697" t="s">
        <v>509</v>
      </c>
      <c r="D17" s="2697"/>
      <c r="E17" s="2697"/>
      <c r="F17" s="2697"/>
      <c r="G17" s="2697"/>
      <c r="H17" s="2697"/>
      <c r="I17" s="2697"/>
      <c r="J17" s="2697"/>
      <c r="K17" s="2697"/>
      <c r="L17" s="2697"/>
      <c r="M17" s="2697"/>
      <c r="N17" s="2697"/>
      <c r="O17" s="2697"/>
      <c r="P17" s="2697"/>
      <c r="Q17" s="2697"/>
      <c r="R17" s="2697"/>
      <c r="S17" s="2698"/>
      <c r="T17" s="2679"/>
      <c r="U17" s="2680"/>
      <c r="V17" s="2680"/>
      <c r="W17" s="2680"/>
      <c r="X17" s="2680"/>
      <c r="Y17" s="2679"/>
      <c r="Z17" s="2680"/>
      <c r="AA17" s="2680"/>
      <c r="AB17" s="2680"/>
      <c r="AC17" s="2680"/>
      <c r="AD17" s="2680"/>
      <c r="AE17" s="2680"/>
      <c r="AF17" s="2680"/>
      <c r="AG17" s="2680"/>
      <c r="AH17" s="2680"/>
      <c r="AI17" s="2680"/>
      <c r="AJ17" s="2680"/>
      <c r="AK17" s="2680"/>
      <c r="AL17" s="2680"/>
      <c r="AM17" s="2680"/>
    </row>
    <row r="18" spans="1:40" ht="13.05" customHeight="1">
      <c r="A18"/>
      <c r="B18" s="1194"/>
      <c r="C18" s="1667" t="s">
        <v>978</v>
      </c>
      <c r="D18" s="1667"/>
      <c r="E18" s="1667"/>
      <c r="F18" s="1667"/>
      <c r="G18" s="1667"/>
      <c r="H18" s="1667"/>
      <c r="I18" s="1667"/>
      <c r="J18" s="1667"/>
      <c r="K18" s="1667"/>
      <c r="L18" s="1667"/>
      <c r="M18" s="1667"/>
      <c r="N18" s="1667"/>
      <c r="O18" s="1667"/>
      <c r="P18" s="1667"/>
      <c r="Q18" s="1667"/>
      <c r="R18" s="1667"/>
      <c r="S18" s="1668"/>
      <c r="T18" s="2679"/>
      <c r="U18" s="2680"/>
      <c r="V18" s="2680"/>
      <c r="W18" s="2680"/>
      <c r="X18" s="2680"/>
      <c r="Y18" s="2679"/>
      <c r="Z18" s="2680"/>
      <c r="AA18" s="2680"/>
      <c r="AB18" s="2680"/>
      <c r="AC18" s="2680"/>
      <c r="AD18" s="2680"/>
      <c r="AE18" s="2680"/>
      <c r="AF18" s="2680"/>
      <c r="AG18" s="2680"/>
      <c r="AH18" s="2680"/>
      <c r="AI18" s="2680"/>
      <c r="AJ18" s="2680"/>
      <c r="AK18" s="2680"/>
      <c r="AL18" s="2680"/>
      <c r="AM18" s="2680"/>
    </row>
    <row r="19" spans="1:40" ht="13.05" customHeight="1">
      <c r="B19" s="1194"/>
      <c r="C19" s="1667" t="s">
        <v>978</v>
      </c>
      <c r="D19" s="1667"/>
      <c r="E19" s="1667"/>
      <c r="F19" s="1667"/>
      <c r="G19" s="1667"/>
      <c r="H19" s="1667"/>
      <c r="I19" s="1667"/>
      <c r="J19" s="1667"/>
      <c r="K19" s="1667"/>
      <c r="L19" s="1667"/>
      <c r="M19" s="1667"/>
      <c r="N19" s="1667"/>
      <c r="O19" s="1667"/>
      <c r="P19" s="1667"/>
      <c r="Q19" s="1667"/>
      <c r="R19" s="1667"/>
      <c r="S19" s="1668"/>
      <c r="T19" s="2679"/>
      <c r="U19" s="2680"/>
      <c r="V19" s="2680"/>
      <c r="W19" s="2680"/>
      <c r="X19" s="2680"/>
      <c r="Y19" s="2679"/>
      <c r="Z19" s="2680"/>
      <c r="AA19" s="2680"/>
      <c r="AB19" s="2680"/>
      <c r="AC19" s="2680"/>
      <c r="AD19" s="2680"/>
      <c r="AE19" s="2680"/>
      <c r="AF19" s="2680"/>
      <c r="AG19" s="2680"/>
      <c r="AH19" s="2680"/>
      <c r="AI19" s="2680"/>
      <c r="AJ19" s="2680"/>
      <c r="AK19" s="2680"/>
      <c r="AL19" s="2680"/>
      <c r="AM19" s="2680"/>
    </row>
    <row r="20" spans="1:40" ht="13.05" customHeight="1">
      <c r="B20" s="2654" t="s">
        <v>510</v>
      </c>
      <c r="C20" s="2655"/>
      <c r="D20" s="2655"/>
      <c r="E20" s="2655"/>
      <c r="F20" s="2655"/>
      <c r="G20" s="2655"/>
      <c r="H20" s="2655"/>
      <c r="I20" s="2655"/>
      <c r="J20" s="2655"/>
      <c r="K20" s="2655"/>
      <c r="L20" s="2655"/>
      <c r="M20" s="2655"/>
      <c r="N20" s="2655"/>
      <c r="O20" s="2655"/>
      <c r="P20" s="2655"/>
      <c r="Q20" s="2655"/>
      <c r="R20" s="2655"/>
      <c r="S20" s="2656"/>
      <c r="T20" s="2670">
        <f>SUM(T13:X19)</f>
        <v>0</v>
      </c>
      <c r="U20" s="2648"/>
      <c r="V20" s="2648"/>
      <c r="W20" s="2648"/>
      <c r="X20" s="2648"/>
      <c r="Y20" s="2670">
        <f>SUM(Y13:AC19)</f>
        <v>0</v>
      </c>
      <c r="Z20" s="2648"/>
      <c r="AA20" s="2648"/>
      <c r="AB20" s="2648"/>
      <c r="AC20" s="2648"/>
      <c r="AD20" s="2658">
        <f>SUM(AD13:AH19)</f>
        <v>0</v>
      </c>
      <c r="AE20" s="2669"/>
      <c r="AF20" s="2669"/>
      <c r="AG20" s="2669"/>
      <c r="AH20" s="2670"/>
      <c r="AI20" s="2658">
        <f>SUM(AI13:AM19)</f>
        <v>0</v>
      </c>
      <c r="AJ20" s="2669"/>
      <c r="AK20" s="2669"/>
      <c r="AL20" s="2669"/>
      <c r="AM20" s="2670"/>
    </row>
    <row r="21" spans="1:40" ht="13.05" customHeight="1">
      <c r="B21" s="2654" t="s">
        <v>1370</v>
      </c>
      <c r="C21" s="2655"/>
      <c r="D21" s="2655"/>
      <c r="E21" s="2655"/>
      <c r="F21" s="2655"/>
      <c r="G21" s="2655"/>
      <c r="H21" s="2655"/>
      <c r="I21" s="2655"/>
      <c r="J21" s="2655"/>
      <c r="K21" s="2655"/>
      <c r="L21" s="2655"/>
      <c r="M21" s="2655"/>
      <c r="N21" s="2655"/>
      <c r="O21" s="2655"/>
      <c r="P21" s="2655"/>
      <c r="Q21" s="2655"/>
      <c r="R21" s="2655"/>
      <c r="S21" s="2656"/>
      <c r="T21" s="2679"/>
      <c r="U21" s="2680"/>
      <c r="V21" s="2680"/>
      <c r="W21" s="2680"/>
      <c r="X21" s="2680"/>
      <c r="Y21" s="2679"/>
      <c r="Z21" s="2680"/>
      <c r="AA21" s="2680"/>
      <c r="AB21" s="2680"/>
      <c r="AC21" s="2680"/>
      <c r="AD21" s="2686"/>
      <c r="AE21" s="2687"/>
      <c r="AF21" s="2687"/>
      <c r="AG21" s="2687"/>
      <c r="AH21" s="2688"/>
      <c r="AI21" s="2686"/>
      <c r="AJ21" s="2687"/>
      <c r="AK21" s="2687"/>
      <c r="AL21" s="2687"/>
      <c r="AM21" s="2688"/>
    </row>
    <row r="22" spans="1:40" ht="13.05" customHeight="1">
      <c r="B22" s="2654" t="s">
        <v>511</v>
      </c>
      <c r="C22" s="2655"/>
      <c r="D22" s="2655"/>
      <c r="E22" s="2655"/>
      <c r="F22" s="2655"/>
      <c r="G22" s="2655"/>
      <c r="H22" s="2655"/>
      <c r="I22" s="2655"/>
      <c r="J22" s="2655"/>
      <c r="K22" s="2655"/>
      <c r="L22" s="2655"/>
      <c r="M22" s="2655"/>
      <c r="N22" s="2655"/>
      <c r="O22" s="2655"/>
      <c r="P22" s="2655"/>
      <c r="Q22" s="2655"/>
      <c r="R22" s="2655"/>
      <c r="S22" s="2656"/>
      <c r="T22" s="2675">
        <f>(ABS(T20)+ABS(T21))*-1</f>
        <v>0</v>
      </c>
      <c r="U22" s="2676"/>
      <c r="V22" s="2676"/>
      <c r="W22" s="2676"/>
      <c r="X22" s="2676"/>
      <c r="Y22" s="2675">
        <f>(Y20+Y21)*-1</f>
        <v>0</v>
      </c>
      <c r="Z22" s="2676"/>
      <c r="AA22" s="2676"/>
      <c r="AB22" s="2676"/>
      <c r="AC22" s="2676"/>
      <c r="AD22" s="2677">
        <f>(AD20)*-1</f>
        <v>0</v>
      </c>
      <c r="AE22" s="2678"/>
      <c r="AF22" s="2678"/>
      <c r="AG22" s="2678"/>
      <c r="AH22" s="2675"/>
      <c r="AI22" s="2677">
        <f>(AI20)*-1</f>
        <v>0</v>
      </c>
      <c r="AJ22" s="2678"/>
      <c r="AK22" s="2678"/>
      <c r="AL22" s="2678"/>
      <c r="AM22" s="2675"/>
    </row>
    <row r="23" spans="1:40" ht="13.05" customHeight="1">
      <c r="B23" s="2654" t="s">
        <v>512</v>
      </c>
      <c r="C23" s="2655"/>
      <c r="D23" s="2655"/>
      <c r="E23" s="2655"/>
      <c r="F23" s="2655"/>
      <c r="G23" s="2655"/>
      <c r="H23" s="2655"/>
      <c r="I23" s="2655"/>
      <c r="J23" s="2655"/>
      <c r="K23" s="2655"/>
      <c r="L23" s="2655"/>
      <c r="M23" s="2655"/>
      <c r="N23" s="2655"/>
      <c r="O23" s="2655"/>
      <c r="P23" s="2655"/>
      <c r="Q23" s="2655"/>
      <c r="R23" s="2655"/>
      <c r="S23" s="2656"/>
      <c r="T23" s="2670">
        <f>T11+T22</f>
        <v>74929187.599999994</v>
      </c>
      <c r="U23" s="2648"/>
      <c r="V23" s="2648"/>
      <c r="W23" s="2648"/>
      <c r="X23" s="2648"/>
      <c r="Y23" s="2670">
        <f>Y11+Y22</f>
        <v>0</v>
      </c>
      <c r="Z23" s="2648"/>
      <c r="AA23" s="2648"/>
      <c r="AB23" s="2648"/>
      <c r="AC23" s="2648"/>
      <c r="AD23" s="2670">
        <f>AD11+AD22</f>
        <v>0</v>
      </c>
      <c r="AE23" s="2648"/>
      <c r="AF23" s="2648"/>
      <c r="AG23" s="2648"/>
      <c r="AH23" s="2648"/>
      <c r="AI23" s="2670">
        <f>AI11+AI22</f>
        <v>0</v>
      </c>
      <c r="AJ23" s="2648"/>
      <c r="AK23" s="2648"/>
      <c r="AL23" s="2648"/>
      <c r="AM23" s="2648"/>
    </row>
    <row r="24" spans="1:40" ht="13.05" customHeight="1">
      <c r="B24" s="2654" t="s">
        <v>979</v>
      </c>
      <c r="C24" s="2655"/>
      <c r="D24" s="2655"/>
      <c r="E24" s="2655"/>
      <c r="F24" s="2655"/>
      <c r="G24" s="2655"/>
      <c r="H24" s="2655"/>
      <c r="I24" s="2655"/>
      <c r="J24" s="2655"/>
      <c r="K24" s="2655"/>
      <c r="L24" s="2655"/>
      <c r="M24" s="2655"/>
      <c r="N24" s="2655"/>
      <c r="O24" s="2655"/>
      <c r="P24" s="2655"/>
      <c r="Q24" s="2655"/>
      <c r="R24" s="2655"/>
      <c r="S24" s="2656"/>
      <c r="T24" s="2658">
        <f>Application!AJ1052</f>
        <v>109143291.3</v>
      </c>
      <c r="U24" s="2669"/>
      <c r="V24" s="2669"/>
      <c r="W24" s="2669"/>
      <c r="X24" s="2669"/>
      <c r="Y24" s="2669"/>
      <c r="Z24" s="2669"/>
      <c r="AA24" s="2669"/>
      <c r="AB24" s="2669"/>
      <c r="AC24" s="2669"/>
      <c r="AD24" s="2669"/>
      <c r="AE24" s="2669"/>
      <c r="AF24" s="2669"/>
      <c r="AG24" s="2669"/>
      <c r="AH24" s="2669"/>
      <c r="AI24" s="2669"/>
      <c r="AJ24" s="2669"/>
      <c r="AK24" s="2669"/>
      <c r="AL24" s="2669"/>
      <c r="AM24" s="2670"/>
    </row>
    <row r="25" spans="1:40" ht="13.05" customHeight="1">
      <c r="B25" s="2701" t="s">
        <v>1371</v>
      </c>
      <c r="C25" s="2702"/>
      <c r="D25" s="2702"/>
      <c r="E25" s="2702"/>
      <c r="F25" s="2702"/>
      <c r="G25" s="2702"/>
      <c r="H25" s="2702"/>
      <c r="I25" s="2702"/>
      <c r="J25" s="2702"/>
      <c r="K25" s="2702"/>
      <c r="L25" s="2702"/>
      <c r="M25" s="2702"/>
      <c r="N25" s="2702"/>
      <c r="O25" s="2702"/>
      <c r="P25" s="2702"/>
      <c r="Q25" s="2702"/>
      <c r="R25" s="2702"/>
      <c r="S25" s="2703"/>
      <c r="T25" s="2683">
        <f>IF(OR(Application!T196="yes",Application!T195="yes"),1.3,1)</f>
        <v>1.3</v>
      </c>
      <c r="U25" s="2684"/>
      <c r="V25" s="2684"/>
      <c r="W25" s="2684"/>
      <c r="X25" s="2684"/>
      <c r="Y25" s="2683">
        <v>1</v>
      </c>
      <c r="Z25" s="2684"/>
      <c r="AA25" s="2684"/>
      <c r="AB25" s="2684"/>
      <c r="AC25" s="2684"/>
      <c r="AD25" s="2683">
        <v>1</v>
      </c>
      <c r="AE25" s="2684"/>
      <c r="AF25" s="2684"/>
      <c r="AG25" s="2684"/>
      <c r="AH25" s="2685"/>
      <c r="AI25" s="2683">
        <v>1</v>
      </c>
      <c r="AJ25" s="2684"/>
      <c r="AK25" s="2684"/>
      <c r="AL25" s="2684"/>
      <c r="AM25" s="2685"/>
    </row>
    <row r="26" spans="1:40" ht="13.05" customHeight="1">
      <c r="B26" s="2654" t="s">
        <v>513</v>
      </c>
      <c r="C26" s="2655"/>
      <c r="D26" s="2655"/>
      <c r="E26" s="2655"/>
      <c r="F26" s="2655"/>
      <c r="G26" s="2655"/>
      <c r="H26" s="2655"/>
      <c r="I26" s="2655"/>
      <c r="J26" s="2655"/>
      <c r="K26" s="2655"/>
      <c r="L26" s="2655"/>
      <c r="M26" s="2655"/>
      <c r="N26" s="2655"/>
      <c r="O26" s="2655"/>
      <c r="P26" s="2655"/>
      <c r="Q26" s="2655"/>
      <c r="R26" s="2655"/>
      <c r="S26" s="2656"/>
      <c r="T26" s="2670">
        <f>T23*T25</f>
        <v>97407943.879999995</v>
      </c>
      <c r="U26" s="2648"/>
      <c r="V26" s="2648"/>
      <c r="W26" s="2648"/>
      <c r="X26" s="2648"/>
      <c r="Y26" s="2670">
        <f>Y23*Y25</f>
        <v>0</v>
      </c>
      <c r="Z26" s="2648"/>
      <c r="AA26" s="2648"/>
      <c r="AB26" s="2648"/>
      <c r="AC26" s="2648"/>
      <c r="AD26" s="2670">
        <f>AD23*AD25</f>
        <v>0</v>
      </c>
      <c r="AE26" s="2648"/>
      <c r="AF26" s="2648"/>
      <c r="AG26" s="2648"/>
      <c r="AH26" s="2648"/>
      <c r="AI26" s="2670">
        <f>AI23*AI25</f>
        <v>0</v>
      </c>
      <c r="AJ26" s="2648"/>
      <c r="AK26" s="2648"/>
      <c r="AL26" s="2648"/>
      <c r="AM26" s="2648"/>
    </row>
    <row r="27" spans="1:40" ht="13.05" customHeight="1">
      <c r="A27" s="441"/>
      <c r="B27" s="2704" t="s">
        <v>427</v>
      </c>
      <c r="C27" s="2705"/>
      <c r="D27" s="2705"/>
      <c r="E27" s="2705"/>
      <c r="F27" s="2705"/>
      <c r="G27" s="2705"/>
      <c r="H27" s="2705"/>
      <c r="I27" s="2705"/>
      <c r="J27" s="2705"/>
      <c r="K27" s="2705"/>
      <c r="L27" s="2705"/>
      <c r="M27" s="2705"/>
      <c r="N27" s="2705"/>
      <c r="O27" s="2705"/>
      <c r="P27" s="2705"/>
      <c r="Q27" s="2705"/>
      <c r="R27" s="2705"/>
      <c r="S27" s="2706"/>
      <c r="T27" s="2681">
        <f>Application!$AG$445</f>
        <v>1</v>
      </c>
      <c r="U27" s="2682"/>
      <c r="V27" s="2682"/>
      <c r="W27" s="2682"/>
      <c r="X27" s="2682"/>
      <c r="Y27" s="2681">
        <f>Application!$AG$445</f>
        <v>1</v>
      </c>
      <c r="Z27" s="2682"/>
      <c r="AA27" s="2682"/>
      <c r="AB27" s="2682"/>
      <c r="AC27" s="2682"/>
      <c r="AD27" s="2681">
        <f>Application!$AG$445</f>
        <v>1</v>
      </c>
      <c r="AE27" s="2682"/>
      <c r="AF27" s="2682"/>
      <c r="AG27" s="2682"/>
      <c r="AH27" s="2682"/>
      <c r="AI27" s="2681">
        <f>Application!$AG$445</f>
        <v>1</v>
      </c>
      <c r="AJ27" s="2682"/>
      <c r="AK27" s="2682"/>
      <c r="AL27" s="2682"/>
      <c r="AM27" s="2682"/>
    </row>
    <row r="28" spans="1:40" ht="13.05" customHeight="1">
      <c r="A28" s="435"/>
      <c r="B28" s="2654" t="s">
        <v>514</v>
      </c>
      <c r="C28" s="2655"/>
      <c r="D28" s="2655"/>
      <c r="E28" s="2655"/>
      <c r="F28" s="2655"/>
      <c r="G28" s="2655"/>
      <c r="H28" s="2655"/>
      <c r="I28" s="2655"/>
      <c r="J28" s="2655"/>
      <c r="K28" s="2655"/>
      <c r="L28" s="2655"/>
      <c r="M28" s="2655"/>
      <c r="N28" s="2655"/>
      <c r="O28" s="2655"/>
      <c r="P28" s="2655"/>
      <c r="Q28" s="2655"/>
      <c r="R28" s="2655"/>
      <c r="S28" s="2656"/>
      <c r="T28" s="2670">
        <f>IF(ISERROR((T26*T27)),0,(T26*T27))</f>
        <v>97407943.879999995</v>
      </c>
      <c r="U28" s="2648"/>
      <c r="V28" s="2648"/>
      <c r="W28" s="2648"/>
      <c r="X28" s="2648"/>
      <c r="Y28" s="2670">
        <f>IF(ISERROR((Y26*Y27)),0,(Y26*Y27))</f>
        <v>0</v>
      </c>
      <c r="Z28" s="2648"/>
      <c r="AA28" s="2648"/>
      <c r="AB28" s="2648"/>
      <c r="AC28" s="2648"/>
      <c r="AD28" s="2670">
        <f>IF(ISERROR((AD26*AD27)),0,(AD26*AD27))</f>
        <v>0</v>
      </c>
      <c r="AE28" s="2648"/>
      <c r="AF28" s="2648"/>
      <c r="AG28" s="2648"/>
      <c r="AH28" s="2648"/>
      <c r="AI28" s="2670">
        <f>IF(ISERROR((AI26*AI27)),0,(AI26*AI27))</f>
        <v>0</v>
      </c>
      <c r="AJ28" s="2648"/>
      <c r="AK28" s="2648"/>
      <c r="AL28" s="2648"/>
      <c r="AM28" s="2648"/>
    </row>
    <row r="29" spans="1:40" ht="13.05" customHeight="1">
      <c r="B29" s="2654" t="s">
        <v>531</v>
      </c>
      <c r="C29" s="2655"/>
      <c r="D29" s="2655"/>
      <c r="E29" s="2655"/>
      <c r="F29" s="2655"/>
      <c r="G29" s="2655"/>
      <c r="H29" s="2655"/>
      <c r="I29" s="2655"/>
      <c r="J29" s="2655"/>
      <c r="K29" s="2655"/>
      <c r="L29" s="2655"/>
      <c r="M29" s="2655"/>
      <c r="N29" s="2655"/>
      <c r="O29" s="2655"/>
      <c r="P29" s="2655"/>
      <c r="Q29" s="2655"/>
      <c r="R29" s="2655"/>
      <c r="S29" s="2656"/>
      <c r="T29" s="2658">
        <f>T28+Y28+AD28+AI28</f>
        <v>97407943.879999995</v>
      </c>
      <c r="U29" s="2669"/>
      <c r="V29" s="2669"/>
      <c r="W29" s="2669"/>
      <c r="X29" s="2669"/>
      <c r="Y29" s="2669"/>
      <c r="Z29" s="2669"/>
      <c r="AA29" s="2669"/>
      <c r="AB29" s="2669"/>
      <c r="AC29" s="2669"/>
      <c r="AD29" s="2669"/>
      <c r="AE29" s="2669"/>
      <c r="AF29" s="2669"/>
      <c r="AG29" s="2669"/>
      <c r="AH29" s="2669"/>
      <c r="AI29" s="2669"/>
      <c r="AJ29" s="2669"/>
      <c r="AK29" s="2669"/>
      <c r="AL29" s="2669"/>
      <c r="AM29" s="2670"/>
    </row>
    <row r="30" spans="1:40" ht="13.05" customHeight="1">
      <c r="B30" s="2674" t="s">
        <v>1373</v>
      </c>
      <c r="C30" s="2674"/>
      <c r="D30" s="2674"/>
      <c r="E30" s="2674"/>
      <c r="F30" s="2674"/>
      <c r="G30" s="2674"/>
      <c r="H30" s="2674"/>
      <c r="I30" s="2674"/>
      <c r="J30" s="2674"/>
      <c r="K30" s="2674"/>
      <c r="L30" s="2674"/>
      <c r="M30" s="2674"/>
      <c r="N30" s="2674"/>
      <c r="O30" s="2674"/>
      <c r="P30" s="2674"/>
      <c r="Q30" s="2674"/>
      <c r="R30" s="2674"/>
      <c r="S30" s="2674"/>
      <c r="T30" s="2674"/>
      <c r="U30" s="2674"/>
      <c r="V30" s="2674"/>
      <c r="W30" s="2674"/>
      <c r="X30" s="2674"/>
      <c r="Y30" s="2674"/>
      <c r="Z30" s="2674"/>
      <c r="AA30" s="2674"/>
      <c r="AB30" s="2674"/>
      <c r="AC30" s="2674"/>
      <c r="AD30" s="2674"/>
      <c r="AE30" s="2674"/>
      <c r="AF30" s="2674"/>
      <c r="AG30" s="2674"/>
      <c r="AH30" s="2674"/>
      <c r="AI30" s="2674"/>
      <c r="AJ30" s="2674"/>
      <c r="AK30" s="2674"/>
      <c r="AL30" s="2674"/>
      <c r="AM30" s="2674"/>
    </row>
    <row r="31" spans="1:40" ht="13.05" customHeight="1">
      <c r="B31" s="2674" t="s">
        <v>1372</v>
      </c>
      <c r="C31" s="2674"/>
      <c r="D31" s="2674"/>
      <c r="E31" s="2674"/>
      <c r="F31" s="2674"/>
      <c r="G31" s="2674"/>
      <c r="H31" s="2674"/>
      <c r="I31" s="2674"/>
      <c r="J31" s="2674"/>
      <c r="K31" s="2674"/>
      <c r="L31" s="2674"/>
      <c r="M31" s="2674"/>
      <c r="N31" s="2674"/>
      <c r="O31" s="2674"/>
      <c r="P31" s="2674"/>
      <c r="Q31" s="2674"/>
      <c r="R31" s="2674"/>
      <c r="S31" s="2674"/>
      <c r="T31" s="2674"/>
      <c r="U31" s="2674"/>
      <c r="V31" s="2674"/>
      <c r="W31" s="2674"/>
      <c r="X31" s="2674"/>
      <c r="Y31" s="2674"/>
      <c r="Z31" s="2674"/>
      <c r="AA31" s="2674"/>
      <c r="AB31" s="2674"/>
      <c r="AC31" s="2674"/>
      <c r="AD31" s="2674"/>
      <c r="AE31" s="2674"/>
      <c r="AF31" s="2674"/>
      <c r="AG31" s="2674"/>
      <c r="AH31" s="2674"/>
      <c r="AI31" s="2674"/>
      <c r="AJ31" s="2674"/>
      <c r="AK31" s="2674"/>
      <c r="AL31" s="2674"/>
      <c r="AM31" s="2674"/>
      <c r="AN31" s="552"/>
    </row>
    <row r="32" spans="1:40" ht="13.0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05" customHeight="1">
      <c r="A34" s="435" t="s">
        <v>584</v>
      </c>
      <c r="C34" s="435" t="s">
        <v>576</v>
      </c>
    </row>
    <row r="35" spans="1:76" ht="13.0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71" t="s">
        <v>1255</v>
      </c>
      <c r="Z35" s="2671"/>
      <c r="AA35" s="2671"/>
      <c r="AB35" s="2671"/>
      <c r="AC35" s="2671"/>
      <c r="AD35" s="2672" t="s">
        <v>370</v>
      </c>
      <c r="AE35" s="2672"/>
      <c r="AF35" s="2672"/>
      <c r="AG35" s="2672"/>
      <c r="AH35" s="2672"/>
    </row>
    <row r="36" spans="1:76" ht="13.05" customHeight="1">
      <c r="B36" s="438"/>
      <c r="X36" s="443"/>
      <c r="Y36" s="2671"/>
      <c r="Z36" s="2671"/>
      <c r="AA36" s="2671"/>
      <c r="AB36" s="2671"/>
      <c r="AC36" s="2671"/>
      <c r="AD36" s="2672"/>
      <c r="AE36" s="2672"/>
      <c r="AF36" s="2672"/>
      <c r="AG36" s="2672"/>
      <c r="AH36" s="2672"/>
    </row>
    <row r="37" spans="1:76" ht="13.0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71"/>
      <c r="Z37" s="2671"/>
      <c r="AA37" s="2671"/>
      <c r="AB37" s="2671"/>
      <c r="AC37" s="2671"/>
      <c r="AD37" s="2672"/>
      <c r="AE37" s="2672"/>
      <c r="AF37" s="2672"/>
      <c r="AG37" s="2672"/>
      <c r="AH37" s="2672"/>
    </row>
    <row r="38" spans="1:76" ht="13.05" customHeight="1">
      <c r="A38" s="435"/>
      <c r="B38" s="2654" t="s">
        <v>514</v>
      </c>
      <c r="C38" s="2655"/>
      <c r="D38" s="2655"/>
      <c r="E38" s="2655"/>
      <c r="F38" s="2655"/>
      <c r="G38" s="2655"/>
      <c r="H38" s="2655"/>
      <c r="I38" s="2655"/>
      <c r="J38" s="2655"/>
      <c r="K38" s="2655"/>
      <c r="L38" s="2655"/>
      <c r="M38" s="2655"/>
      <c r="N38" s="2655"/>
      <c r="O38" s="2655"/>
      <c r="P38" s="2655"/>
      <c r="Q38" s="2655"/>
      <c r="R38" s="2655"/>
      <c r="S38" s="2655"/>
      <c r="T38" s="2655"/>
      <c r="U38" s="2655"/>
      <c r="V38" s="2655"/>
      <c r="W38" s="2655"/>
      <c r="X38" s="2656"/>
      <c r="Y38" s="2648">
        <f>IF(T24&gt;=(T23+Y23+AD23+AI23),T28+Y28,0)</f>
        <v>97407943.879999995</v>
      </c>
      <c r="Z38" s="2648"/>
      <c r="AA38" s="2648"/>
      <c r="AB38" s="2648"/>
      <c r="AC38" s="2648"/>
      <c r="AD38" s="2648">
        <f>IF(T24&gt;=(T23+Y23+AD23+AI23),AD28+AI28,0)</f>
        <v>0</v>
      </c>
      <c r="AE38" s="2648"/>
      <c r="AF38" s="2648"/>
      <c r="AG38" s="2648"/>
      <c r="AH38" s="2648"/>
    </row>
    <row r="39" spans="1:76" ht="13.05" customHeight="1">
      <c r="B39" s="2654" t="s">
        <v>1878</v>
      </c>
      <c r="C39" s="2655"/>
      <c r="D39" s="2655"/>
      <c r="E39" s="2655"/>
      <c r="F39" s="2655"/>
      <c r="G39" s="2655"/>
      <c r="H39" s="2655"/>
      <c r="I39" s="2655"/>
      <c r="J39" s="2655"/>
      <c r="K39" s="2655"/>
      <c r="L39" s="2655"/>
      <c r="M39" s="2655"/>
      <c r="N39" s="2655"/>
      <c r="O39" s="2655"/>
      <c r="P39" s="2655"/>
      <c r="Q39" s="2655"/>
      <c r="R39" s="2655"/>
      <c r="S39" s="2655"/>
      <c r="T39" s="2655"/>
      <c r="U39" s="2655"/>
      <c r="V39" s="2655"/>
      <c r="W39" s="2655"/>
      <c r="X39" s="2656"/>
      <c r="Y39" s="2673">
        <v>0.04</v>
      </c>
      <c r="Z39" s="2673"/>
      <c r="AA39" s="2673"/>
      <c r="AB39" s="2673"/>
      <c r="AC39" s="2673"/>
      <c r="AD39" s="2673">
        <v>0.04</v>
      </c>
      <c r="AE39" s="2673"/>
      <c r="AF39" s="2673"/>
      <c r="AG39" s="2673"/>
      <c r="AH39" s="2673"/>
    </row>
    <row r="40" spans="1:76" ht="13.05" customHeight="1">
      <c r="A40" s="435"/>
      <c r="B40" s="2654" t="s">
        <v>649</v>
      </c>
      <c r="C40" s="2655"/>
      <c r="D40" s="2655"/>
      <c r="E40" s="2655"/>
      <c r="F40" s="2655"/>
      <c r="G40" s="2655"/>
      <c r="H40" s="2655"/>
      <c r="I40" s="2655"/>
      <c r="J40" s="2655"/>
      <c r="K40" s="2655"/>
      <c r="L40" s="2655"/>
      <c r="M40" s="2655"/>
      <c r="N40" s="2655"/>
      <c r="O40" s="2655"/>
      <c r="P40" s="2655"/>
      <c r="Q40" s="2655"/>
      <c r="R40" s="2655"/>
      <c r="S40" s="2655"/>
      <c r="T40" s="2655"/>
      <c r="U40" s="2655"/>
      <c r="V40" s="2655"/>
      <c r="W40" s="2655"/>
      <c r="X40" s="2656"/>
      <c r="Y40" s="2648">
        <f>ROUND(Y38*Y39,0)</f>
        <v>3896318</v>
      </c>
      <c r="Z40" s="2648"/>
      <c r="AA40" s="2648"/>
      <c r="AB40" s="2648"/>
      <c r="AC40" s="2648"/>
      <c r="AD40" s="2670">
        <f>ROUND(AD38*AD39,0)</f>
        <v>0</v>
      </c>
      <c r="AE40" s="2648"/>
      <c r="AF40" s="2648"/>
      <c r="AG40" s="2648"/>
      <c r="AH40" s="2648"/>
    </row>
    <row r="41" spans="1:76" ht="13.05" customHeight="1">
      <c r="B41" s="2654" t="s">
        <v>650</v>
      </c>
      <c r="C41" s="2655"/>
      <c r="D41" s="2655"/>
      <c r="E41" s="2655"/>
      <c r="F41" s="2655"/>
      <c r="G41" s="2655"/>
      <c r="H41" s="2655"/>
      <c r="I41" s="2655"/>
      <c r="J41" s="2655"/>
      <c r="K41" s="2655"/>
      <c r="L41" s="2655"/>
      <c r="M41" s="2655"/>
      <c r="N41" s="2655"/>
      <c r="O41" s="2655"/>
      <c r="P41" s="2655"/>
      <c r="Q41" s="2655"/>
      <c r="R41" s="2655"/>
      <c r="S41" s="2655"/>
      <c r="T41" s="2655"/>
      <c r="U41" s="2655"/>
      <c r="V41" s="2655"/>
      <c r="W41" s="2655"/>
      <c r="X41" s="2656"/>
      <c r="Y41" s="2658">
        <f>Y40+AD40</f>
        <v>3896318</v>
      </c>
      <c r="Z41" s="2669"/>
      <c r="AA41" s="2669"/>
      <c r="AB41" s="2669"/>
      <c r="AC41" s="2669"/>
      <c r="AD41" s="2669"/>
      <c r="AE41" s="2669"/>
      <c r="AF41" s="2669"/>
      <c r="AG41" s="2669"/>
      <c r="AH41" s="2670"/>
    </row>
    <row r="42" spans="1:76" ht="13.0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0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05" customHeight="1" thickBot="1">
      <c r="A44" s="2668" t="s">
        <v>1383</v>
      </c>
      <c r="B44" s="2668"/>
      <c r="C44" s="2668"/>
      <c r="D44" s="2668"/>
      <c r="E44" s="2668"/>
      <c r="F44" s="2668"/>
      <c r="G44" s="2668"/>
      <c r="H44" s="2668"/>
      <c r="I44" s="2668"/>
      <c r="J44" s="2668"/>
      <c r="K44" s="2668"/>
      <c r="L44" s="2668"/>
      <c r="M44" s="2668"/>
      <c r="N44" s="2668"/>
      <c r="O44" s="2668"/>
      <c r="P44" s="2668"/>
      <c r="Q44" s="2668"/>
      <c r="R44" s="2668"/>
      <c r="S44" s="2668"/>
      <c r="T44" s="2668"/>
      <c r="U44" s="2668"/>
      <c r="V44" s="2668"/>
      <c r="W44" s="2668"/>
      <c r="X44" s="2668"/>
      <c r="Y44" s="2668"/>
      <c r="Z44" s="2668"/>
      <c r="AA44" s="2668"/>
      <c r="AB44" s="2668"/>
      <c r="AC44" s="2668"/>
      <c r="AD44" s="2668"/>
      <c r="AE44" s="2668"/>
      <c r="AF44" s="2668"/>
      <c r="AG44" s="2668"/>
      <c r="AH44" s="2668"/>
      <c r="AI44" s="2668"/>
      <c r="AJ44" s="2668"/>
      <c r="AK44" s="2668"/>
      <c r="AL44" s="2668"/>
      <c r="AM44" s="2668"/>
      <c r="AN44" s="2668"/>
      <c r="AO44" s="2668"/>
      <c r="AP44" s="2668"/>
      <c r="AQ44" s="2668"/>
      <c r="AR44" s="2668"/>
      <c r="AS44" s="2668"/>
      <c r="AT44" s="2668"/>
      <c r="AU44" s="2668"/>
      <c r="AV44" s="2668"/>
      <c r="AW44" s="2668"/>
      <c r="AX44" s="2668"/>
      <c r="AY44" s="2668"/>
      <c r="AZ44" s="2668"/>
      <c r="BA44" s="2668"/>
      <c r="BB44" s="2668"/>
      <c r="BC44" s="2668"/>
      <c r="BD44" s="2668"/>
      <c r="BE44" s="2668"/>
      <c r="BF44" s="2668"/>
      <c r="BG44" s="2668"/>
      <c r="BH44" s="2668"/>
      <c r="BI44" s="2668"/>
      <c r="BJ44" s="2668"/>
      <c r="BK44" s="2668"/>
      <c r="BL44" s="2668"/>
      <c r="BM44" s="2668"/>
      <c r="BN44" s="2668"/>
      <c r="BO44" s="2668"/>
      <c r="BP44" s="2668"/>
      <c r="BQ44" s="2668"/>
      <c r="BR44" s="2668"/>
      <c r="BS44" s="2668"/>
      <c r="BT44" s="2668"/>
      <c r="BU44" s="2668"/>
      <c r="BV44" s="2668"/>
      <c r="BW44" s="2668"/>
      <c r="BX44" s="2668"/>
    </row>
    <row r="45" spans="1:76" s="218" customFormat="1" ht="13.05" customHeight="1" thickTop="1"/>
    <row r="46" spans="1:76" ht="13.05" customHeight="1">
      <c r="A46" s="435" t="s">
        <v>594</v>
      </c>
      <c r="C46" s="435" t="s">
        <v>283</v>
      </c>
    </row>
    <row r="47" spans="1:76" ht="13.05" customHeight="1">
      <c r="D47" s="435" t="s">
        <v>284</v>
      </c>
      <c r="AB47" s="2662">
        <f>'Sources and Uses Budget'!B105-MAX(IF('Sources and Uses Budget'!B15="",0,'Sources and Uses Budget'!B15),IF(Application!AG394="",0,Application!AG394))</f>
        <v>87154721.000000015</v>
      </c>
      <c r="AC47" s="2663"/>
      <c r="AD47" s="2663"/>
      <c r="AE47" s="2663"/>
      <c r="AF47" s="2664"/>
    </row>
    <row r="48" spans="1:76" ht="13.05" customHeight="1">
      <c r="D48" s="435" t="s">
        <v>21</v>
      </c>
      <c r="AB48" s="2662">
        <f>Application!AO639-MAX(IF('Sources and Uses Budget'!B15="",0,'Sources and Uses Budget'!B15),IF(Application!AG394="",0,Application!AG394))</f>
        <v>40683779</v>
      </c>
      <c r="AC48" s="2663"/>
      <c r="AD48" s="2663"/>
      <c r="AE48" s="2663"/>
      <c r="AF48" s="2664"/>
    </row>
    <row r="49" spans="1:76" ht="13.05" customHeight="1">
      <c r="D49" s="435" t="s">
        <v>91</v>
      </c>
      <c r="AB49" s="2662">
        <f>AB47-AB48</f>
        <v>46470942.000000015</v>
      </c>
      <c r="AC49" s="2663"/>
      <c r="AD49" s="2663"/>
      <c r="AE49" s="2663"/>
      <c r="AF49" s="2664"/>
    </row>
    <row r="50" spans="1:76" ht="13.05" customHeight="1">
      <c r="D50" s="435" t="s">
        <v>688</v>
      </c>
      <c r="AA50" s="446"/>
      <c r="AB50" s="2650">
        <v>0.81991795000000001</v>
      </c>
      <c r="AC50" s="2651"/>
      <c r="AD50" s="2651"/>
      <c r="AE50" s="2651"/>
      <c r="AF50" s="2652"/>
    </row>
    <row r="51" spans="1:76" s="448" customFormat="1" ht="13.05" customHeight="1">
      <c r="A51" s="433"/>
      <c r="B51" s="433"/>
      <c r="C51" s="433"/>
      <c r="D51" s="433"/>
      <c r="E51" s="2661" t="s">
        <v>2038</v>
      </c>
      <c r="F51" s="2661"/>
      <c r="G51" s="2661"/>
      <c r="H51" s="2661"/>
      <c r="I51" s="2661"/>
      <c r="J51" s="2661"/>
      <c r="K51" s="2661"/>
      <c r="L51" s="2661"/>
      <c r="M51" s="2661"/>
      <c r="N51" s="2661"/>
      <c r="O51" s="2661"/>
      <c r="P51" s="2661"/>
      <c r="Q51" s="2661"/>
      <c r="R51" s="2661"/>
      <c r="S51" s="2661"/>
      <c r="T51" s="2661"/>
      <c r="U51" s="2661"/>
      <c r="V51" s="2661"/>
      <c r="W51" s="2661"/>
      <c r="X51" s="2661"/>
      <c r="Y51" s="2661"/>
      <c r="Z51" s="2661"/>
      <c r="AA51" s="447"/>
      <c r="AB51" s="447"/>
      <c r="AC51" s="447"/>
      <c r="AD51" s="447"/>
      <c r="AE51" s="447"/>
      <c r="AF51" s="447"/>
      <c r="AG51" s="433"/>
      <c r="AH51" s="433"/>
      <c r="AI51" s="433"/>
      <c r="AJ51" s="433"/>
      <c r="AK51" s="433"/>
      <c r="AL51" s="433"/>
      <c r="AM51" s="433"/>
      <c r="AN51" s="433"/>
    </row>
    <row r="52" spans="1:76" s="448" customFormat="1" ht="13.05" customHeight="1">
      <c r="A52" s="433"/>
      <c r="B52" s="433"/>
      <c r="C52" s="433"/>
      <c r="D52" s="433"/>
      <c r="E52" s="2661"/>
      <c r="F52" s="2661"/>
      <c r="G52" s="2661"/>
      <c r="H52" s="2661"/>
      <c r="I52" s="2661"/>
      <c r="J52" s="2661"/>
      <c r="K52" s="2661"/>
      <c r="L52" s="2661"/>
      <c r="M52" s="2661"/>
      <c r="N52" s="2661"/>
      <c r="O52" s="2661"/>
      <c r="P52" s="2661"/>
      <c r="Q52" s="2661"/>
      <c r="R52" s="2661"/>
      <c r="S52" s="2661"/>
      <c r="T52" s="2661"/>
      <c r="U52" s="2661"/>
      <c r="V52" s="2661"/>
      <c r="W52" s="2661"/>
      <c r="X52" s="2661"/>
      <c r="Y52" s="2661"/>
      <c r="Z52" s="2661"/>
      <c r="AA52" s="449"/>
      <c r="AB52" s="449"/>
      <c r="AC52" s="449"/>
      <c r="AD52" s="449"/>
      <c r="AE52" s="449"/>
      <c r="AF52" s="449"/>
      <c r="AG52" s="450"/>
      <c r="AH52" s="433"/>
      <c r="AI52" s="433"/>
      <c r="AJ52" s="433"/>
      <c r="AK52" s="433"/>
      <c r="AL52" s="433"/>
      <c r="AM52" s="433"/>
      <c r="AN52" s="433"/>
    </row>
    <row r="53" spans="1:76" ht="13.0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05" customHeight="1">
      <c r="D54" s="435" t="s">
        <v>333</v>
      </c>
      <c r="AB54" s="2662">
        <f>ROUND(IF(ISERROR((AB49/AB50)),0,(AB49/AB50)),0)</f>
        <v>56677552</v>
      </c>
      <c r="AC54" s="2663"/>
      <c r="AD54" s="2663"/>
      <c r="AE54" s="2663"/>
      <c r="AF54" s="2664"/>
    </row>
    <row r="55" spans="1:76" ht="13.05" customHeight="1">
      <c r="D55" s="435" t="s">
        <v>334</v>
      </c>
      <c r="AB55" s="2662">
        <f>(AB54/10)</f>
        <v>5667755.2000000002</v>
      </c>
      <c r="AC55" s="2663"/>
      <c r="AD55" s="2663"/>
      <c r="AE55" s="2663"/>
      <c r="AF55" s="2664"/>
    </row>
    <row r="56" spans="1:76" ht="13.05" customHeight="1">
      <c r="D56" s="435" t="s">
        <v>764</v>
      </c>
      <c r="AB56" s="2665">
        <f>(IF((Y41&lt;AB55),Y41,AB55))</f>
        <v>3896318</v>
      </c>
      <c r="AC56" s="2666"/>
      <c r="AD56" s="2666"/>
      <c r="AE56" s="2666"/>
      <c r="AF56" s="2667"/>
    </row>
    <row r="57" spans="1:76" ht="13.05" customHeight="1">
      <c r="D57" s="435" t="s">
        <v>763</v>
      </c>
      <c r="AB57" s="2662">
        <f>ROUND((10*AB56*AB50),0)</f>
        <v>31946611</v>
      </c>
      <c r="AC57" s="2663"/>
      <c r="AD57" s="2663"/>
      <c r="AE57" s="2663"/>
      <c r="AF57" s="2664"/>
    </row>
    <row r="58" spans="1:76" ht="13.05" customHeight="1">
      <c r="D58" s="435"/>
      <c r="AB58" s="454"/>
      <c r="AC58" s="454"/>
      <c r="AD58" s="454"/>
      <c r="AE58" s="454"/>
      <c r="AF58" s="454"/>
    </row>
    <row r="59" spans="1:76" ht="13.05" customHeight="1">
      <c r="D59" s="435" t="s">
        <v>762</v>
      </c>
      <c r="AB59" s="2646">
        <f>AB49-AB57</f>
        <v>14524331.000000015</v>
      </c>
      <c r="AC59" s="2646"/>
      <c r="AD59" s="2646"/>
      <c r="AE59" s="2646"/>
      <c r="AF59" s="2646"/>
    </row>
    <row r="60" spans="1:76" ht="13.05" customHeight="1">
      <c r="D60" s="435"/>
      <c r="AB60" s="454"/>
      <c r="AC60" s="454"/>
      <c r="AD60" s="454"/>
      <c r="AE60" s="454"/>
      <c r="AF60" s="454"/>
    </row>
    <row r="61" spans="1:76" s="218" customFormat="1" ht="13.05" customHeight="1" thickBot="1">
      <c r="A61" s="2668" t="str">
        <f>IF(Application!AP205="yes","Farmworker State Credit", "State Credit" )</f>
        <v>State Credit</v>
      </c>
      <c r="B61" s="2668"/>
      <c r="C61" s="2668"/>
      <c r="D61" s="2668"/>
      <c r="E61" s="2668"/>
      <c r="F61" s="2668"/>
      <c r="G61" s="2668"/>
      <c r="H61" s="2668"/>
      <c r="I61" s="2668"/>
      <c r="J61" s="2668"/>
      <c r="K61" s="2668"/>
      <c r="L61" s="2668"/>
      <c r="M61" s="2668"/>
      <c r="N61" s="2668"/>
      <c r="O61" s="2668"/>
      <c r="P61" s="2668"/>
      <c r="Q61" s="2668"/>
      <c r="R61" s="2668"/>
      <c r="S61" s="2668"/>
      <c r="T61" s="2668"/>
      <c r="U61" s="2668"/>
      <c r="V61" s="2668"/>
      <c r="W61" s="2668"/>
      <c r="X61" s="2668"/>
      <c r="Y61" s="2668"/>
      <c r="Z61" s="2668"/>
      <c r="AA61" s="2668"/>
      <c r="AB61" s="2668"/>
      <c r="AC61" s="2668"/>
      <c r="AD61" s="2668"/>
      <c r="AE61" s="2668"/>
      <c r="AF61" s="2668"/>
      <c r="AG61" s="2668"/>
      <c r="AH61" s="2668"/>
      <c r="AI61" s="2668"/>
      <c r="AJ61" s="2668"/>
      <c r="AK61" s="2668"/>
      <c r="AL61" s="2668"/>
      <c r="AM61" s="2668"/>
      <c r="AN61" s="2668"/>
      <c r="AO61" s="2668"/>
      <c r="AP61" s="2668"/>
      <c r="AQ61" s="2668"/>
      <c r="AR61" s="2668"/>
      <c r="AS61" s="2668"/>
      <c r="AT61" s="2668"/>
      <c r="AU61" s="2668"/>
      <c r="AV61" s="2668"/>
      <c r="AW61" s="2668"/>
      <c r="AX61" s="2668"/>
      <c r="AY61" s="2668"/>
      <c r="AZ61" s="2668"/>
      <c r="BA61" s="2668"/>
      <c r="BB61" s="2668"/>
      <c r="BC61" s="2668"/>
      <c r="BD61" s="2668"/>
      <c r="BE61" s="2668"/>
      <c r="BF61" s="2668"/>
      <c r="BG61" s="2668"/>
      <c r="BH61" s="2668"/>
      <c r="BI61" s="2668"/>
      <c r="BJ61" s="2668"/>
      <c r="BK61" s="2668"/>
      <c r="BL61" s="2668"/>
      <c r="BM61" s="2668"/>
      <c r="BN61" s="2668"/>
      <c r="BO61" s="2668"/>
      <c r="BP61" s="2668"/>
      <c r="BQ61" s="2668"/>
      <c r="BR61" s="2668"/>
      <c r="BS61" s="2668"/>
      <c r="BT61" s="2668"/>
      <c r="BU61" s="2668"/>
      <c r="BV61" s="2668"/>
      <c r="BW61" s="2668"/>
      <c r="BX61" s="2668"/>
    </row>
    <row r="62" spans="1:76" s="218" customFormat="1" ht="13.05" customHeight="1" thickTop="1"/>
    <row r="63" spans="1:76" ht="13.05" customHeight="1">
      <c r="A63" s="435" t="s">
        <v>597</v>
      </c>
      <c r="C63" s="219" t="s">
        <v>1355</v>
      </c>
      <c r="Y63" s="2657" t="s">
        <v>1002</v>
      </c>
      <c r="Z63" s="2657"/>
      <c r="AA63" s="2657"/>
      <c r="AB63" s="2657"/>
      <c r="AC63" s="2657"/>
      <c r="AD63" s="2657" t="s">
        <v>370</v>
      </c>
      <c r="AE63" s="2657"/>
      <c r="AF63" s="2657"/>
      <c r="AG63" s="2657"/>
      <c r="AH63" s="2657"/>
    </row>
    <row r="64" spans="1:76" ht="13.0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58">
        <f>IF(Application!$Z$205="(select)",0,((T23*T27)+Y28))</f>
        <v>74929187.599999994</v>
      </c>
      <c r="Z64" s="2659"/>
      <c r="AA64" s="2659"/>
      <c r="AB64" s="2659"/>
      <c r="AC64" s="2660"/>
      <c r="AD64" s="2658">
        <f>IF(AND(OR(Application!D211="At-Risk",Application!D211="At-Risk and Special Needs"),Application!M358="yes"),AD28+AI28,0)</f>
        <v>0</v>
      </c>
      <c r="AE64" s="2659"/>
      <c r="AF64" s="2659"/>
      <c r="AG64" s="2659"/>
      <c r="AH64" s="2660"/>
    </row>
    <row r="65" spans="1:36" ht="13.0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0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47">
        <f>IF(OR(Application!Z205="State Farmworker Credit",Application!Z205="$500M (Farmworker Housing)"),0.75,IF(Application!Z205="15% set-aside",0.13,IF(Application!Z205="15% set-aside with qualifying low value rehab",0.95,0.3)))</f>
        <v>0.3</v>
      </c>
      <c r="Z67" s="2647"/>
      <c r="AA67" s="2647"/>
      <c r="AB67" s="2647"/>
      <c r="AC67" s="2647"/>
      <c r="AD67" s="2647">
        <f>IF(Application!Z205="15% set-aside with qualifying low value rehab", 0.95,0.13)</f>
        <v>0.13</v>
      </c>
      <c r="AE67" s="2647"/>
      <c r="AF67" s="2647"/>
      <c r="AG67" s="2647"/>
      <c r="AH67" s="2647"/>
    </row>
    <row r="68" spans="1:36" ht="13.05" customHeight="1">
      <c r="C68" s="435"/>
      <c r="D68" s="219" t="s">
        <v>2630</v>
      </c>
      <c r="Y68" s="2648">
        <f>ROUND(Y64*Y67,0)</f>
        <v>22478756</v>
      </c>
      <c r="Z68" s="2649"/>
      <c r="AA68" s="2649"/>
      <c r="AB68" s="2649"/>
      <c r="AC68" s="2649"/>
      <c r="AD68" s="2648">
        <f>ROUND(AD64*AD67,0)</f>
        <v>0</v>
      </c>
      <c r="AE68" s="2649"/>
      <c r="AF68" s="2649"/>
      <c r="AG68" s="2649"/>
      <c r="AH68" s="2649"/>
    </row>
    <row r="69" spans="1:36" ht="13.05" customHeight="1">
      <c r="C69" s="435"/>
      <c r="D69" s="219" t="s">
        <v>2631</v>
      </c>
      <c r="Y69" s="2648">
        <f>IF(OR(Application!Z205="State Farmworker Credit",Application!Z205="$500M (Farmworker Housing)"),Y68+AD68,MIN(Y68+AD68,200000*(Application!G753+Application!O777)))</f>
        <v>20000000</v>
      </c>
      <c r="Z69" s="2648"/>
      <c r="AA69" s="2648"/>
      <c r="AB69" s="2648"/>
      <c r="AC69" s="2648"/>
      <c r="AD69" s="2648"/>
      <c r="AE69" s="2648"/>
      <c r="AF69" s="2648"/>
      <c r="AG69" s="2648"/>
      <c r="AH69" s="2648"/>
    </row>
    <row r="70" spans="1:36" ht="13.05" customHeight="1">
      <c r="C70" s="435"/>
      <c r="E70" s="435"/>
      <c r="AB70" s="453"/>
      <c r="AC70" s="453"/>
      <c r="AD70" s="453"/>
      <c r="AE70" s="453"/>
      <c r="AF70" s="453"/>
    </row>
    <row r="71" spans="1:36" ht="13.05" customHeight="1">
      <c r="A71" s="435" t="s">
        <v>598</v>
      </c>
      <c r="C71" s="219" t="s">
        <v>285</v>
      </c>
    </row>
    <row r="72" spans="1:36" ht="13.05" customHeight="1">
      <c r="A72" s="435"/>
      <c r="C72" s="435"/>
      <c r="D72" s="219" t="s">
        <v>1357</v>
      </c>
      <c r="AB72" s="2650">
        <v>0.9</v>
      </c>
      <c r="AC72" s="2651"/>
      <c r="AD72" s="2651"/>
      <c r="AE72" s="2651"/>
      <c r="AF72" s="2652"/>
    </row>
    <row r="73" spans="1:36" ht="13.05" customHeight="1">
      <c r="A73" s="435"/>
      <c r="C73" s="435"/>
      <c r="D73" s="435"/>
      <c r="E73" s="2653" t="s">
        <v>1358</v>
      </c>
      <c r="F73" s="2653"/>
      <c r="G73" s="2653"/>
      <c r="H73" s="2653"/>
      <c r="I73" s="2653"/>
      <c r="J73" s="2653"/>
      <c r="K73" s="2653"/>
      <c r="L73" s="2653"/>
      <c r="M73" s="2653"/>
      <c r="N73" s="2653"/>
      <c r="O73" s="2653"/>
      <c r="P73" s="2653"/>
      <c r="Q73" s="2653"/>
      <c r="R73" s="2653"/>
      <c r="S73" s="2653"/>
      <c r="T73" s="2653"/>
      <c r="U73" s="2653"/>
      <c r="V73" s="2653"/>
      <c r="W73" s="2653"/>
      <c r="X73" s="2653"/>
      <c r="Y73" s="2653"/>
      <c r="Z73" s="2653"/>
      <c r="AA73" s="2653"/>
      <c r="AB73" s="471"/>
      <c r="AC73" s="471"/>
    </row>
    <row r="74" spans="1:36" ht="13.05" customHeight="1">
      <c r="A74" s="435"/>
      <c r="C74" s="435"/>
      <c r="D74" s="435"/>
      <c r="E74" s="2653"/>
      <c r="F74" s="2653"/>
      <c r="G74" s="2653"/>
      <c r="H74" s="2653"/>
      <c r="I74" s="2653"/>
      <c r="J74" s="2653"/>
      <c r="K74" s="2653"/>
      <c r="L74" s="2653"/>
      <c r="M74" s="2653"/>
      <c r="N74" s="2653"/>
      <c r="O74" s="2653"/>
      <c r="P74" s="2653"/>
      <c r="Q74" s="2653"/>
      <c r="R74" s="2653"/>
      <c r="S74" s="2653"/>
      <c r="T74" s="2653"/>
      <c r="U74" s="2653"/>
      <c r="V74" s="2653"/>
      <c r="W74" s="2653"/>
      <c r="X74" s="2653"/>
      <c r="Y74" s="2653"/>
      <c r="Z74" s="2653"/>
      <c r="AA74" s="2653"/>
      <c r="AB74" s="471"/>
      <c r="AC74" s="471"/>
    </row>
    <row r="75" spans="1:36" ht="13.05" customHeight="1">
      <c r="A75" s="435"/>
      <c r="C75" s="435"/>
      <c r="D75" s="435"/>
      <c r="E75" s="2653"/>
      <c r="F75" s="2653"/>
      <c r="G75" s="2653"/>
      <c r="H75" s="2653"/>
      <c r="I75" s="2653"/>
      <c r="J75" s="2653"/>
      <c r="K75" s="2653"/>
      <c r="L75" s="2653"/>
      <c r="M75" s="2653"/>
      <c r="N75" s="2653"/>
      <c r="O75" s="2653"/>
      <c r="P75" s="2653"/>
      <c r="Q75" s="2653"/>
      <c r="R75" s="2653"/>
      <c r="S75" s="2653"/>
      <c r="T75" s="2653"/>
      <c r="U75" s="2653"/>
      <c r="V75" s="2653"/>
      <c r="W75" s="2653"/>
      <c r="X75" s="2653"/>
      <c r="Y75" s="2653"/>
      <c r="Z75" s="2653"/>
      <c r="AA75" s="2653"/>
      <c r="AB75" s="471"/>
      <c r="AC75" s="471"/>
    </row>
    <row r="76" spans="1:36" ht="13.0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05" customHeight="1">
      <c r="C77" s="435"/>
      <c r="D77" s="219" t="s">
        <v>1359</v>
      </c>
      <c r="AB77" s="2641">
        <f>ROUND(IF(ISERROR((AB59/AB72)),0,(AB59/AB72)),0)</f>
        <v>16138146</v>
      </c>
      <c r="AC77" s="2641"/>
      <c r="AD77" s="2641"/>
      <c r="AE77" s="2641"/>
      <c r="AF77" s="2641"/>
    </row>
    <row r="78" spans="1:36" ht="13.05" customHeight="1">
      <c r="C78" s="435"/>
      <c r="D78" s="219" t="s">
        <v>1360</v>
      </c>
      <c r="AB78" s="2642">
        <f>MIN(Y69,AB77)</f>
        <v>16138146</v>
      </c>
      <c r="AC78" s="2643"/>
      <c r="AD78" s="2643"/>
      <c r="AE78" s="2643"/>
      <c r="AF78" s="2644"/>
    </row>
    <row r="79" spans="1:36" ht="13.05" customHeight="1">
      <c r="C79" s="435"/>
      <c r="D79" s="219" t="s">
        <v>1361</v>
      </c>
      <c r="AB79" s="2645">
        <f>AB78*AB72</f>
        <v>14524331.4</v>
      </c>
      <c r="AC79" s="2645"/>
      <c r="AD79" s="2645"/>
      <c r="AE79" s="2645"/>
      <c r="AF79" s="2645"/>
    </row>
    <row r="80" spans="1:36" ht="13.05" customHeight="1">
      <c r="C80" s="435"/>
      <c r="D80" s="435"/>
      <c r="AB80" s="456"/>
      <c r="AC80" s="456"/>
      <c r="AD80" s="456"/>
      <c r="AE80" s="456"/>
      <c r="AF80" s="456"/>
    </row>
    <row r="81" spans="1:78" ht="13.05" customHeight="1">
      <c r="D81" s="435" t="s">
        <v>762</v>
      </c>
      <c r="AB81" s="2646">
        <f>AB49-(AB57+AB79)</f>
        <v>-0.39999998360872269</v>
      </c>
      <c r="AC81" s="2646"/>
      <c r="AD81" s="2646"/>
      <c r="AE81" s="2646"/>
      <c r="AF81" s="2646"/>
    </row>
    <row r="82" spans="1:78" ht="13.05" customHeight="1">
      <c r="F82" s="556"/>
      <c r="J82" s="556" t="str">
        <f>IF(AB81&gt;0,"FUNDING GAP MUST NOT EXCEED ZERO","")</f>
        <v/>
      </c>
    </row>
    <row r="83" spans="1:78" ht="13.05" customHeight="1">
      <c r="D83" s="557"/>
    </row>
    <row r="84" spans="1:78" ht="13.05" customHeight="1" thickBot="1">
      <c r="A84" s="2668"/>
      <c r="B84" s="2668"/>
      <c r="C84" s="2668"/>
      <c r="D84" s="2668"/>
      <c r="E84" s="2668"/>
      <c r="F84" s="2668"/>
      <c r="G84" s="2668"/>
      <c r="H84" s="2668"/>
      <c r="I84" s="2668"/>
      <c r="J84" s="2668"/>
      <c r="K84" s="2668"/>
      <c r="L84" s="2668"/>
      <c r="M84" s="2668"/>
      <c r="N84" s="2668"/>
      <c r="O84" s="2668"/>
      <c r="P84" s="2668"/>
      <c r="Q84" s="2668"/>
      <c r="R84" s="2668"/>
      <c r="S84" s="2668"/>
      <c r="T84" s="2668"/>
      <c r="U84" s="2668"/>
      <c r="V84" s="2668"/>
      <c r="W84" s="2668"/>
      <c r="X84" s="2668"/>
      <c r="Y84" s="2668"/>
      <c r="Z84" s="2668"/>
      <c r="AA84" s="2668"/>
      <c r="AB84" s="2668"/>
      <c r="AC84" s="2668"/>
      <c r="AD84" s="2668"/>
      <c r="AE84" s="2668"/>
      <c r="AF84" s="2668"/>
      <c r="AG84" s="2668"/>
      <c r="AH84" s="2668"/>
      <c r="AI84" s="2668"/>
      <c r="AJ84" s="2668"/>
      <c r="AK84" s="2668"/>
      <c r="AL84" s="2668"/>
      <c r="AM84" s="2668"/>
      <c r="AN84" s="2668"/>
      <c r="AO84" s="2668"/>
      <c r="AP84" s="2668"/>
      <c r="AQ84" s="2668"/>
      <c r="AR84" s="2668"/>
      <c r="AS84" s="2668"/>
      <c r="AT84" s="2668"/>
      <c r="AU84" s="2668"/>
      <c r="AV84" s="2668"/>
      <c r="AW84" s="2668"/>
      <c r="AX84" s="2668"/>
      <c r="AY84" s="2668"/>
      <c r="AZ84" s="2668"/>
      <c r="BA84" s="2668"/>
      <c r="BB84" s="2668"/>
      <c r="BC84" s="2668"/>
      <c r="BD84" s="2668"/>
      <c r="BE84" s="2668"/>
      <c r="BF84" s="2668"/>
      <c r="BG84" s="2668"/>
      <c r="BH84" s="2668"/>
      <c r="BI84" s="2668"/>
      <c r="BJ84" s="2668"/>
      <c r="BK84" s="2668"/>
      <c r="BL84" s="2668"/>
      <c r="BM84" s="2668"/>
      <c r="BN84" s="2668"/>
      <c r="BO84" s="2668"/>
      <c r="BP84" s="2668"/>
      <c r="BQ84" s="2668"/>
      <c r="BR84" s="2668"/>
      <c r="BS84" s="2668"/>
      <c r="BT84" s="2668"/>
      <c r="BU84" s="2668"/>
      <c r="BV84" s="2668"/>
      <c r="BW84" s="2668"/>
      <c r="BX84" s="2668"/>
    </row>
    <row r="85" spans="1:78" ht="13.05" customHeight="1" thickTop="1"/>
    <row r="86" spans="1:78" ht="13.05" customHeight="1">
      <c r="A86" s="435"/>
      <c r="C86" s="219"/>
    </row>
    <row r="87" spans="1:78" ht="13.05" customHeight="1">
      <c r="D87" s="219"/>
      <c r="AB87" s="2700"/>
      <c r="AC87" s="2700"/>
      <c r="AD87" s="2700"/>
      <c r="AE87" s="2700"/>
      <c r="AF87" s="2700"/>
    </row>
    <row r="88" spans="1:78" ht="13.05" customHeight="1" thickBot="1">
      <c r="D88" s="219"/>
      <c r="AB88" s="2699"/>
      <c r="AC88" s="2699"/>
      <c r="AD88" s="2699"/>
      <c r="AE88" s="2699"/>
      <c r="AF88" s="2699"/>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0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7" workbookViewId="0">
      <selection activeCell="L41" sqref="L41"/>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09375" style="327"/>
  </cols>
  <sheetData>
    <row r="1" spans="1:12">
      <c r="A1" s="2707" t="s">
        <v>923</v>
      </c>
      <c r="B1" s="2707"/>
      <c r="C1" s="2707"/>
      <c r="D1" s="2707"/>
      <c r="E1" s="2707"/>
      <c r="F1" s="2707"/>
      <c r="G1" s="2707"/>
      <c r="H1" s="2707"/>
      <c r="I1" s="2707"/>
      <c r="J1" s="2707"/>
      <c r="K1" s="218"/>
      <c r="L1" s="218"/>
    </row>
    <row r="2" spans="1:12">
      <c r="A2" s="225"/>
      <c r="B2" s="225"/>
      <c r="C2" s="225"/>
      <c r="D2" s="225"/>
      <c r="E2" s="225"/>
      <c r="F2" s="225"/>
      <c r="G2" s="225"/>
      <c r="H2" s="225"/>
      <c r="I2" s="225"/>
      <c r="J2" s="225"/>
    </row>
    <row r="3" spans="1:12" ht="82.8">
      <c r="A3" s="457" t="s">
        <v>924</v>
      </c>
      <c r="B3" s="457" t="s">
        <v>925</v>
      </c>
      <c r="C3" s="457" t="s">
        <v>2252</v>
      </c>
      <c r="D3" s="1190" t="s">
        <v>926</v>
      </c>
      <c r="E3" s="218"/>
      <c r="F3" s="1190" t="s">
        <v>927</v>
      </c>
      <c r="G3" s="457" t="s">
        <v>928</v>
      </c>
      <c r="H3" s="458"/>
      <c r="I3" s="457" t="s">
        <v>929</v>
      </c>
      <c r="J3" s="457" t="s">
        <v>930</v>
      </c>
      <c r="K3" s="218"/>
      <c r="L3" s="328"/>
    </row>
    <row r="4" spans="1:12">
      <c r="A4" s="459" t="str">
        <f>Application!B718</f>
        <v>1 Bedroom</v>
      </c>
      <c r="B4" s="1121">
        <f>Application!G718</f>
        <v>1</v>
      </c>
      <c r="C4" s="1122"/>
      <c r="D4" s="459">
        <f>Application!O718</f>
        <v>1537</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10</v>
      </c>
      <c r="C5" s="1122" t="s">
        <v>386</v>
      </c>
      <c r="D5" s="459">
        <f>Application!O719</f>
        <v>1537</v>
      </c>
      <c r="E5" s="460"/>
      <c r="F5" s="1123">
        <v>2878</v>
      </c>
      <c r="G5" s="459">
        <f t="shared" ref="G5:G38" si="2">F5*B5</f>
        <v>28780</v>
      </c>
      <c r="H5" s="460"/>
      <c r="I5" s="459">
        <f t="shared" si="0"/>
        <v>1341</v>
      </c>
      <c r="J5" s="459">
        <f t="shared" si="1"/>
        <v>13410</v>
      </c>
      <c r="K5" s="218"/>
      <c r="L5" s="328"/>
    </row>
    <row r="6" spans="1:12">
      <c r="A6" s="459" t="str">
        <f>Application!B720</f>
        <v>1 Bedroom</v>
      </c>
      <c r="B6" s="1121">
        <f>Application!G720</f>
        <v>10</v>
      </c>
      <c r="C6" s="1122" t="s">
        <v>386</v>
      </c>
      <c r="D6" s="459">
        <f>Application!O720</f>
        <v>918</v>
      </c>
      <c r="E6" s="460"/>
      <c r="F6" s="1123">
        <f>+F5</f>
        <v>2878</v>
      </c>
      <c r="G6" s="459">
        <f t="shared" si="2"/>
        <v>28780</v>
      </c>
      <c r="H6" s="460"/>
      <c r="I6" s="459">
        <f t="shared" si="0"/>
        <v>1960</v>
      </c>
      <c r="J6" s="459">
        <f t="shared" si="1"/>
        <v>19600</v>
      </c>
      <c r="K6" s="218"/>
      <c r="L6" s="328"/>
    </row>
    <row r="7" spans="1:12">
      <c r="A7" s="459" t="str">
        <f>Application!B721</f>
        <v>2 Bedrooms</v>
      </c>
      <c r="B7" s="1121">
        <f>Application!G721</f>
        <v>25</v>
      </c>
      <c r="C7" s="1122"/>
      <c r="D7" s="459">
        <f>Application!O721</f>
        <v>2502</v>
      </c>
      <c r="E7" s="460"/>
      <c r="F7" s="1123"/>
      <c r="G7" s="459">
        <f t="shared" si="2"/>
        <v>0</v>
      </c>
      <c r="H7" s="460"/>
      <c r="I7" s="459" t="str">
        <f t="shared" si="0"/>
        <v/>
      </c>
      <c r="J7" s="459" t="str">
        <f t="shared" si="1"/>
        <v/>
      </c>
      <c r="K7" s="218"/>
      <c r="L7" s="328"/>
    </row>
    <row r="8" spans="1:12">
      <c r="A8" s="459" t="str">
        <f>Application!B722</f>
        <v>2 Bedrooms</v>
      </c>
      <c r="B8" s="1121">
        <f>Application!G722</f>
        <v>7</v>
      </c>
      <c r="C8" s="1122" t="s">
        <v>386</v>
      </c>
      <c r="D8" s="459">
        <f>Application!O722</f>
        <v>1900</v>
      </c>
      <c r="E8" s="460"/>
      <c r="F8" s="1123">
        <v>3786</v>
      </c>
      <c r="G8" s="459">
        <f t="shared" si="2"/>
        <v>26502</v>
      </c>
      <c r="H8" s="460"/>
      <c r="I8" s="459">
        <f t="shared" si="0"/>
        <v>1886</v>
      </c>
      <c r="J8" s="459">
        <f t="shared" si="1"/>
        <v>13202</v>
      </c>
      <c r="K8" s="218"/>
      <c r="L8" s="328"/>
    </row>
    <row r="9" spans="1:12">
      <c r="A9" s="459" t="str">
        <f>Application!B723</f>
        <v>2 Bedrooms</v>
      </c>
      <c r="B9" s="1121">
        <f>Application!G723</f>
        <v>8</v>
      </c>
      <c r="C9" s="1122" t="s">
        <v>386</v>
      </c>
      <c r="D9" s="459">
        <f>Application!O723</f>
        <v>1085</v>
      </c>
      <c r="E9" s="460"/>
      <c r="F9" s="1123">
        <f>+F8</f>
        <v>3786</v>
      </c>
      <c r="G9" s="459">
        <f t="shared" si="2"/>
        <v>30288</v>
      </c>
      <c r="H9" s="460"/>
      <c r="I9" s="459">
        <f t="shared" si="0"/>
        <v>2701</v>
      </c>
      <c r="J9" s="459">
        <f t="shared" si="1"/>
        <v>21608</v>
      </c>
      <c r="K9" s="218"/>
      <c r="L9" s="328"/>
    </row>
    <row r="10" spans="1:12">
      <c r="A10" s="459" t="str">
        <f>Application!B724</f>
        <v>3 Bedrooms</v>
      </c>
      <c r="B10" s="1121">
        <f>Application!G724</f>
        <v>30</v>
      </c>
      <c r="C10" s="1122"/>
      <c r="D10" s="459">
        <f>Application!O724</f>
        <v>2851</v>
      </c>
      <c r="E10" s="460"/>
      <c r="F10" s="1123"/>
      <c r="G10" s="459">
        <f t="shared" si="2"/>
        <v>0</v>
      </c>
      <c r="H10" s="460"/>
      <c r="I10" s="459" t="str">
        <f t="shared" si="0"/>
        <v/>
      </c>
      <c r="J10" s="459" t="str">
        <f t="shared" si="1"/>
        <v/>
      </c>
      <c r="K10" s="218"/>
      <c r="L10" s="328"/>
    </row>
    <row r="11" spans="1:12">
      <c r="A11" s="459" t="str">
        <f>Application!B725</f>
        <v>3 Bedrooms</v>
      </c>
      <c r="B11" s="1121">
        <f>Application!G725</f>
        <v>3</v>
      </c>
      <c r="C11" s="1122"/>
      <c r="D11" s="459">
        <f>Application!O725</f>
        <v>2177</v>
      </c>
      <c r="E11" s="460"/>
      <c r="F11" s="1123"/>
      <c r="G11" s="459">
        <f t="shared" si="2"/>
        <v>0</v>
      </c>
      <c r="H11" s="460"/>
      <c r="I11" s="459" t="str">
        <f t="shared" si="0"/>
        <v/>
      </c>
      <c r="J11" s="459" t="str">
        <f t="shared" si="1"/>
        <v/>
      </c>
      <c r="K11" s="218"/>
      <c r="L11" s="328"/>
    </row>
    <row r="12" spans="1:12">
      <c r="A12" s="459" t="str">
        <f>Application!B726</f>
        <v>3 Bedrooms</v>
      </c>
      <c r="B12" s="1121">
        <f>Application!G726</f>
        <v>1</v>
      </c>
      <c r="C12" s="1122" t="s">
        <v>386</v>
      </c>
      <c r="D12" s="459">
        <f>Application!O726</f>
        <v>2177</v>
      </c>
      <c r="E12" s="460"/>
      <c r="F12" s="1123">
        <v>4241</v>
      </c>
      <c r="G12" s="459">
        <f t="shared" si="2"/>
        <v>4241</v>
      </c>
      <c r="H12" s="460"/>
      <c r="I12" s="459">
        <f t="shared" si="0"/>
        <v>2064</v>
      </c>
      <c r="J12" s="459">
        <f t="shared" si="1"/>
        <v>2064</v>
      </c>
      <c r="K12" s="218"/>
      <c r="L12" s="328"/>
    </row>
    <row r="13" spans="1:12">
      <c r="A13" s="459" t="str">
        <f>Application!B727</f>
        <v>3 Bedrooms</v>
      </c>
      <c r="B13" s="1121">
        <f>Application!G727</f>
        <v>4</v>
      </c>
      <c r="C13" s="1122" t="s">
        <v>386</v>
      </c>
      <c r="D13" s="459">
        <f>Application!O727</f>
        <v>1235</v>
      </c>
      <c r="E13" s="460"/>
      <c r="F13" s="1123">
        <f>+F12</f>
        <v>4241</v>
      </c>
      <c r="G13" s="459">
        <f t="shared" si="2"/>
        <v>16964</v>
      </c>
      <c r="H13" s="460"/>
      <c r="I13" s="459">
        <f t="shared" si="0"/>
        <v>3006</v>
      </c>
      <c r="J13" s="459">
        <f t="shared" si="1"/>
        <v>12024</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931</v>
      </c>
      <c r="B40" s="462"/>
      <c r="C40" s="462"/>
      <c r="D40" s="463">
        <f>Application!O753</f>
        <v>209795</v>
      </c>
      <c r="E40" s="460"/>
      <c r="F40" s="460"/>
      <c r="G40" s="463">
        <f>SUM(G4:G38)*12</f>
        <v>1626660</v>
      </c>
      <c r="H40" s="464"/>
      <c r="I40" s="462"/>
      <c r="J40" s="463">
        <f>SUM(J4:J38)*12</f>
        <v>982896</v>
      </c>
      <c r="K40" s="218"/>
      <c r="L40" s="329"/>
    </row>
    <row r="41" spans="1:12">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2413</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C39" workbookViewId="0">
      <selection activeCell="AG74" sqref="AG74"/>
    </sheetView>
  </sheetViews>
  <sheetFormatPr defaultColWidth="0" defaultRowHeight="13.2" zeroHeight="1"/>
  <cols>
    <col min="1" max="1" width="3.6640625" customWidth="1"/>
    <col min="2" max="2" width="30.6640625" customWidth="1"/>
    <col min="3" max="3" width="9.10937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77734375" hidden="1"/>
  </cols>
  <sheetData>
    <row r="1" spans="1:34" ht="17.399999999999999">
      <c r="A1" s="226" t="s">
        <v>2404</v>
      </c>
      <c r="B1" s="226"/>
    </row>
    <row r="2" spans="1:34"/>
    <row r="3" spans="1:34" ht="15.6">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3.8">
      <c r="A4" s="235" t="s">
        <v>847</v>
      </c>
      <c r="C4" s="253">
        <v>1.0249999999999999</v>
      </c>
      <c r="E4" s="235">
        <f>Application!Y801</f>
        <v>2517540</v>
      </c>
      <c r="G4" s="235">
        <f>E4*$C$4</f>
        <v>2580478.5</v>
      </c>
      <c r="I4" s="235">
        <f>G4*$C$4</f>
        <v>2644990.4624999999</v>
      </c>
      <c r="K4" s="235">
        <f>I4*$C$4</f>
        <v>2711115.2240624996</v>
      </c>
      <c r="M4" s="235">
        <f>K4*$C$4</f>
        <v>2778893.1046640617</v>
      </c>
      <c r="O4" s="235">
        <f>M4*$C$4</f>
        <v>2848365.4322806629</v>
      </c>
      <c r="Q4" s="235">
        <f>O4*$C$4</f>
        <v>2919574.5680876793</v>
      </c>
      <c r="S4" s="235">
        <f>Q4*$C$4</f>
        <v>2992563.9322898709</v>
      </c>
      <c r="U4" s="235">
        <f>S4*$C$4</f>
        <v>3067378.0305971173</v>
      </c>
      <c r="W4" s="235">
        <f>U4*$C$4</f>
        <v>3144062.4813620448</v>
      </c>
      <c r="Y4" s="235">
        <f>W4*$C$4</f>
        <v>3222664.0433960957</v>
      </c>
      <c r="AA4" s="235">
        <f>Y4*$C$4</f>
        <v>3303230.6444809977</v>
      </c>
      <c r="AC4" s="235">
        <f>AA4*$C$4</f>
        <v>3385811.4105930221</v>
      </c>
      <c r="AE4" s="235">
        <f>AC4*$C$4</f>
        <v>3470456.6958578476</v>
      </c>
      <c r="AG4" s="235">
        <f>AE4*$C$4</f>
        <v>3557218.1132542933</v>
      </c>
    </row>
    <row r="5" spans="1:34" s="225" customFormat="1" ht="13.8">
      <c r="B5" s="225" t="s">
        <v>848</v>
      </c>
      <c r="C5" s="254">
        <f>IF(Application!$D$211="Special Needs",0.1,0.05)</f>
        <v>0.05</v>
      </c>
      <c r="E5" s="237">
        <f>-E4*$C$5</f>
        <v>-125877</v>
      </c>
      <c r="F5" s="237"/>
      <c r="G5" s="237">
        <f>-G4*$C$5</f>
        <v>-129023.925</v>
      </c>
      <c r="H5" s="237"/>
      <c r="I5" s="237">
        <f>-I4*$C$5</f>
        <v>-132249.52312500001</v>
      </c>
      <c r="J5" s="237"/>
      <c r="K5" s="237">
        <f>-K4*$C$5</f>
        <v>-135555.76120312497</v>
      </c>
      <c r="L5" s="237"/>
      <c r="M5" s="237">
        <f>-M4*$C$5</f>
        <v>-138944.65523320308</v>
      </c>
      <c r="N5" s="237"/>
      <c r="O5" s="237">
        <f>-O4*$C$5</f>
        <v>-142418.27161403315</v>
      </c>
      <c r="P5" s="237"/>
      <c r="Q5" s="237">
        <f>-Q4*$C$5</f>
        <v>-145978.72840438396</v>
      </c>
      <c r="R5" s="237"/>
      <c r="S5" s="237">
        <f>-S4*$C$5</f>
        <v>-149628.19661449356</v>
      </c>
      <c r="T5" s="237"/>
      <c r="U5" s="237">
        <f>-U4*$C$5</f>
        <v>-153368.90152985588</v>
      </c>
      <c r="V5" s="237"/>
      <c r="W5" s="237">
        <f>-W4*$C$5</f>
        <v>-157203.12406810225</v>
      </c>
      <c r="X5" s="237"/>
      <c r="Y5" s="237">
        <f>-Y4*$C$5</f>
        <v>-161133.2021698048</v>
      </c>
      <c r="Z5" s="237"/>
      <c r="AA5" s="237">
        <f>-AA4*$C$5</f>
        <v>-165161.53222404991</v>
      </c>
      <c r="AB5" s="237"/>
      <c r="AC5" s="237">
        <f>-AC4*$C$5</f>
        <v>-169290.57052965113</v>
      </c>
      <c r="AD5" s="237"/>
      <c r="AE5" s="237">
        <f>-AE4*$C$5</f>
        <v>-173522.83479289239</v>
      </c>
      <c r="AF5" s="237"/>
      <c r="AG5" s="237">
        <f>-AG4*$C$5</f>
        <v>-177860.90566271468</v>
      </c>
    </row>
    <row r="6" spans="1:34" s="225" customFormat="1" ht="13.8">
      <c r="A6" s="225" t="s">
        <v>846</v>
      </c>
      <c r="C6" s="253">
        <v>1.0249999999999999</v>
      </c>
      <c r="E6" s="238">
        <f>Application!Z809</f>
        <v>982896</v>
      </c>
      <c r="F6" s="238"/>
      <c r="G6" s="238">
        <f>E6*$C$6</f>
        <v>1007468.3999999999</v>
      </c>
      <c r="H6" s="238"/>
      <c r="I6" s="238">
        <f>G6*$C$6</f>
        <v>1032655.1099999999</v>
      </c>
      <c r="J6" s="238"/>
      <c r="K6" s="238">
        <f>I6*$C$6</f>
        <v>1058471.4877499999</v>
      </c>
      <c r="L6" s="238"/>
      <c r="M6" s="238">
        <f>K6*$C$6</f>
        <v>1084933.2749437497</v>
      </c>
      <c r="N6" s="238"/>
      <c r="O6" s="238">
        <f>M6*$C$6</f>
        <v>1112056.6068173433</v>
      </c>
      <c r="P6" s="238"/>
      <c r="Q6" s="238">
        <f>O6*$C$6</f>
        <v>1139858.0219877767</v>
      </c>
      <c r="R6" s="238"/>
      <c r="S6" s="238">
        <f>Q6*$C$6</f>
        <v>1168354.472537471</v>
      </c>
      <c r="T6" s="238"/>
      <c r="U6" s="238">
        <f>S6*$C$6</f>
        <v>1197563.3343509077</v>
      </c>
      <c r="V6" s="238"/>
      <c r="W6" s="238">
        <f>U6*$C$6</f>
        <v>1227502.4177096803</v>
      </c>
      <c r="X6" s="238"/>
      <c r="Y6" s="238">
        <f>W6*$C$6</f>
        <v>1258189.9781524222</v>
      </c>
      <c r="Z6" s="238"/>
      <c r="AA6" s="238">
        <f>Y6*$C$6</f>
        <v>1289644.7276062327</v>
      </c>
      <c r="AB6" s="238"/>
      <c r="AC6" s="238">
        <f>AA6*$C$6</f>
        <v>1321885.8457963883</v>
      </c>
      <c r="AD6" s="238"/>
      <c r="AE6" s="238">
        <f>AC6*$C$6</f>
        <v>1354932.9919412979</v>
      </c>
      <c r="AF6" s="238"/>
      <c r="AG6" s="238">
        <f>AE6*$C$6</f>
        <v>1388806.3167398302</v>
      </c>
    </row>
    <row r="7" spans="1:34" s="225" customFormat="1" ht="13.8">
      <c r="B7" s="225" t="s">
        <v>848</v>
      </c>
      <c r="C7" s="254">
        <f>IF(Application!$D$211="Special Needs",0.1,0.05)</f>
        <v>0.05</v>
      </c>
      <c r="E7" s="237">
        <f>-E6*$C$7</f>
        <v>-49144.800000000003</v>
      </c>
      <c r="F7" s="237"/>
      <c r="G7" s="237">
        <f>-G6*$C$7</f>
        <v>-50373.42</v>
      </c>
      <c r="H7" s="237"/>
      <c r="I7" s="237">
        <f>-I6*$C$7</f>
        <v>-51632.755499999999</v>
      </c>
      <c r="J7" s="237"/>
      <c r="K7" s="237">
        <f>-K6*$C$7</f>
        <v>-52923.574387499997</v>
      </c>
      <c r="L7" s="237"/>
      <c r="M7" s="237">
        <f>-M6*$C$7</f>
        <v>-54246.663747187486</v>
      </c>
      <c r="N7" s="237"/>
      <c r="O7" s="237">
        <f>-O6*$C$7</f>
        <v>-55602.830340867164</v>
      </c>
      <c r="P7" s="237"/>
      <c r="Q7" s="237">
        <f>-Q6*$C$7</f>
        <v>-56992.901099388837</v>
      </c>
      <c r="R7" s="237"/>
      <c r="S7" s="237">
        <f>-S6*$C$7</f>
        <v>-58417.723626873551</v>
      </c>
      <c r="T7" s="237"/>
      <c r="U7" s="237">
        <f>-U6*$C$7</f>
        <v>-59878.166717545391</v>
      </c>
      <c r="V7" s="237"/>
      <c r="W7" s="237">
        <f>-W6*$C$7</f>
        <v>-61375.120885484015</v>
      </c>
      <c r="X7" s="237"/>
      <c r="Y7" s="237">
        <f>-Y6*$C$7</f>
        <v>-62909.498907621113</v>
      </c>
      <c r="Z7" s="237"/>
      <c r="AA7" s="237">
        <f>-AA6*$C$7</f>
        <v>-64482.236380311639</v>
      </c>
      <c r="AB7" s="237"/>
      <c r="AC7" s="237">
        <f>-AC6*$C$7</f>
        <v>-66094.292289819423</v>
      </c>
      <c r="AD7" s="237"/>
      <c r="AE7" s="237">
        <f>-AE6*$C$7</f>
        <v>-67746.649597064898</v>
      </c>
      <c r="AF7" s="237"/>
      <c r="AG7" s="237">
        <f>-AG6*$C$7</f>
        <v>-69440.315836991518</v>
      </c>
    </row>
    <row r="8" spans="1:34" s="225" customFormat="1" ht="13.8">
      <c r="A8" s="225" t="s">
        <v>289</v>
      </c>
      <c r="C8" s="253">
        <v>1.0249999999999999</v>
      </c>
      <c r="E8" s="238">
        <f>Application!Z817</f>
        <v>19200</v>
      </c>
      <c r="F8" s="238"/>
      <c r="G8" s="238">
        <f>E8*$C$8</f>
        <v>19680</v>
      </c>
      <c r="H8" s="238"/>
      <c r="I8" s="238">
        <f>G8*$C$8</f>
        <v>20172</v>
      </c>
      <c r="J8" s="238"/>
      <c r="K8" s="238">
        <f>I8*$C$8</f>
        <v>20676.3</v>
      </c>
      <c r="L8" s="238"/>
      <c r="M8" s="238">
        <f>K8*$C$8</f>
        <v>21193.207499999997</v>
      </c>
      <c r="N8" s="238"/>
      <c r="O8" s="238">
        <f>M8*$C$8</f>
        <v>21723.037687499997</v>
      </c>
      <c r="P8" s="238"/>
      <c r="Q8" s="238">
        <f>O8*$C$8</f>
        <v>22266.113629687494</v>
      </c>
      <c r="R8" s="238"/>
      <c r="S8" s="238">
        <f>Q8*$C$8</f>
        <v>22822.76647042968</v>
      </c>
      <c r="T8" s="238"/>
      <c r="U8" s="238">
        <f>S8*$C$8</f>
        <v>23393.335632190421</v>
      </c>
      <c r="V8" s="238"/>
      <c r="W8" s="238">
        <f>U8*$C$8</f>
        <v>23978.169022995178</v>
      </c>
      <c r="X8" s="238"/>
      <c r="Y8" s="238">
        <f>W8*$C$8</f>
        <v>24577.623248570057</v>
      </c>
      <c r="Z8" s="238"/>
      <c r="AA8" s="238">
        <f>Y8*$C$8</f>
        <v>25192.063829784307</v>
      </c>
      <c r="AB8" s="238"/>
      <c r="AC8" s="238">
        <f>AA8*$C$8</f>
        <v>25821.865425528911</v>
      </c>
      <c r="AD8" s="238"/>
      <c r="AE8" s="238">
        <f>AC8*$C$8</f>
        <v>26467.412061167131</v>
      </c>
      <c r="AF8" s="238"/>
      <c r="AG8" s="238">
        <f>AE8*$C$8</f>
        <v>27129.097362696306</v>
      </c>
    </row>
    <row r="9" spans="1:34" s="225" customFormat="1" ht="13.8">
      <c r="B9" s="225" t="s">
        <v>848</v>
      </c>
      <c r="C9" s="254">
        <f>IF(Application!$D$211="Special Needs",0.1,0.05)</f>
        <v>0.05</v>
      </c>
      <c r="E9" s="237">
        <f>-E8*$C$9</f>
        <v>-960</v>
      </c>
      <c r="F9" s="237"/>
      <c r="G9" s="237">
        <f>-G8*$C$9</f>
        <v>-984</v>
      </c>
      <c r="H9" s="237"/>
      <c r="I9" s="237">
        <f>-I8*$C$9</f>
        <v>-1008.6</v>
      </c>
      <c r="J9" s="237"/>
      <c r="K9" s="237">
        <f>-K8*$C$9</f>
        <v>-1033.8150000000001</v>
      </c>
      <c r="L9" s="237"/>
      <c r="M9" s="237">
        <f>-M8*$C$9</f>
        <v>-1059.6603749999999</v>
      </c>
      <c r="N9" s="237"/>
      <c r="O9" s="237">
        <f>-O8*$C$9</f>
        <v>-1086.1518843749998</v>
      </c>
      <c r="P9" s="237"/>
      <c r="Q9" s="237">
        <f>-Q8*$C$9</f>
        <v>-1113.3056814843746</v>
      </c>
      <c r="R9" s="237"/>
      <c r="S9" s="237">
        <f>-S8*$C$9</f>
        <v>-1141.1383235214842</v>
      </c>
      <c r="T9" s="237"/>
      <c r="U9" s="237">
        <f>-U8*$C$9</f>
        <v>-1169.6667816095212</v>
      </c>
      <c r="V9" s="237"/>
      <c r="W9" s="237">
        <f>-W8*$C$9</f>
        <v>-1198.908451149759</v>
      </c>
      <c r="X9" s="237"/>
      <c r="Y9" s="237">
        <f>-Y8*$C$9</f>
        <v>-1228.8811624285029</v>
      </c>
      <c r="Z9" s="237"/>
      <c r="AA9" s="237">
        <f>-AA8*$C$9</f>
        <v>-1259.6031914892155</v>
      </c>
      <c r="AB9" s="237"/>
      <c r="AC9" s="237">
        <f>-AC8*$C$9</f>
        <v>-1291.0932712764456</v>
      </c>
      <c r="AD9" s="237"/>
      <c r="AE9" s="237">
        <f>-AE8*$C$9</f>
        <v>-1323.3706030583567</v>
      </c>
      <c r="AF9" s="237"/>
      <c r="AG9" s="237">
        <f>-AG8*$C$9</f>
        <v>-1356.4548681348153</v>
      </c>
    </row>
    <row r="10" spans="1:34" s="225" customFormat="1" ht="13.8">
      <c r="A10" s="1187" t="s">
        <v>2624</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869</v>
      </c>
      <c r="C11" s="231"/>
      <c r="E11" s="239">
        <f>SUM(E4:E10)</f>
        <v>3343654.2</v>
      </c>
      <c r="G11" s="239">
        <f>SUM(G4:G10)</f>
        <v>3427245.5550000002</v>
      </c>
      <c r="I11" s="239">
        <f>SUM(I4:I10)</f>
        <v>3512926.6938749999</v>
      </c>
      <c r="K11" s="239">
        <f>SUM(K4:K10)</f>
        <v>3600749.8612218741</v>
      </c>
      <c r="M11" s="239">
        <f>SUM(M4:M10)</f>
        <v>3690768.6077524205</v>
      </c>
      <c r="O11" s="239">
        <f>SUM(O4:O10)</f>
        <v>3783037.8229462309</v>
      </c>
      <c r="Q11" s="239">
        <f>SUM(Q4:Q10)</f>
        <v>3877613.7685198863</v>
      </c>
      <c r="S11" s="239">
        <f>SUM(S4:S10)</f>
        <v>3974554.1127328826</v>
      </c>
      <c r="U11" s="239">
        <f>SUM(U4:U10)</f>
        <v>4073917.9655512045</v>
      </c>
      <c r="W11" s="239">
        <f>SUM(W4:W10)</f>
        <v>4175765.9146899846</v>
      </c>
      <c r="Y11" s="239">
        <f>SUM(Y4:Y10)</f>
        <v>4280160.0625572335</v>
      </c>
      <c r="AA11" s="239">
        <f>SUM(AA4:AA10)</f>
        <v>4387164.0641211644</v>
      </c>
      <c r="AC11" s="239">
        <f>SUM(AC4:AC10)</f>
        <v>4496843.1657241927</v>
      </c>
      <c r="AE11" s="239">
        <f>SUM(AE4:AE10)</f>
        <v>4609264.2448672969</v>
      </c>
      <c r="AG11" s="239">
        <f>SUM(AG4:AG10)</f>
        <v>4724495.8509889795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851</v>
      </c>
      <c r="C15" s="185"/>
      <c r="E15" s="235">
        <f>Application!W847</f>
        <v>95000</v>
      </c>
      <c r="G15" s="235">
        <f>E15*$C$14</f>
        <v>98324.999999999985</v>
      </c>
      <c r="I15" s="235">
        <f>G15*$C$14</f>
        <v>101766.37499999997</v>
      </c>
      <c r="K15" s="235">
        <f>I15*$C$14</f>
        <v>105328.19812499997</v>
      </c>
      <c r="M15" s="235">
        <f>K15*$C$14</f>
        <v>109014.68505937496</v>
      </c>
      <c r="O15" s="235">
        <f>M15*$C$14</f>
        <v>112830.19903645306</v>
      </c>
      <c r="Q15" s="235">
        <f>O15*$C$14</f>
        <v>116779.25600272891</v>
      </c>
      <c r="S15" s="235">
        <f>Q15*$C$14</f>
        <v>120866.52996282441</v>
      </c>
      <c r="U15" s="235">
        <f>S15*$C$14</f>
        <v>125096.85851152326</v>
      </c>
      <c r="W15" s="235">
        <f>U15*$C$14</f>
        <v>129475.24855942656</v>
      </c>
      <c r="Y15" s="235">
        <f>W15*$C$14</f>
        <v>134006.88225900647</v>
      </c>
      <c r="AA15" s="235">
        <f>Y15*$C$14</f>
        <v>138697.12313807168</v>
      </c>
      <c r="AC15" s="235">
        <f>AA15*$C$14</f>
        <v>143551.52244790416</v>
      </c>
      <c r="AE15" s="235">
        <f>AC15*$C$14</f>
        <v>148575.8257335808</v>
      </c>
      <c r="AG15" s="235">
        <f>AE15*$C$14</f>
        <v>153775.97963425613</v>
      </c>
    </row>
    <row r="16" spans="1:34" s="225" customFormat="1" ht="13.8">
      <c r="A16" s="225" t="s">
        <v>345</v>
      </c>
      <c r="C16" s="249"/>
      <c r="E16" s="238">
        <f>Application!W849</f>
        <v>90000</v>
      </c>
      <c r="F16" s="238"/>
      <c r="G16" s="238">
        <f t="shared" ref="G16:AG21" si="0">E16*$C$14</f>
        <v>93150</v>
      </c>
      <c r="H16" s="238"/>
      <c r="I16" s="238">
        <f t="shared" si="0"/>
        <v>96410.249999999985</v>
      </c>
      <c r="J16" s="238"/>
      <c r="K16" s="238">
        <f t="shared" si="0"/>
        <v>99784.60874999997</v>
      </c>
      <c r="L16" s="238"/>
      <c r="M16" s="238">
        <f t="shared" si="0"/>
        <v>103277.07005624996</v>
      </c>
      <c r="N16" s="238"/>
      <c r="O16" s="238">
        <f t="shared" si="0"/>
        <v>106891.76750821869</v>
      </c>
      <c r="P16" s="238"/>
      <c r="Q16" s="238">
        <f t="shared" si="0"/>
        <v>110632.97937100634</v>
      </c>
      <c r="R16" s="238"/>
      <c r="S16" s="238">
        <f t="shared" si="0"/>
        <v>114505.13364899156</v>
      </c>
      <c r="T16" s="238"/>
      <c r="U16" s="238">
        <f t="shared" si="0"/>
        <v>118512.81332670625</v>
      </c>
      <c r="V16" s="238"/>
      <c r="W16" s="238">
        <f t="shared" si="0"/>
        <v>122660.76179314096</v>
      </c>
      <c r="X16" s="238"/>
      <c r="Y16" s="238">
        <f t="shared" si="0"/>
        <v>126953.88845590089</v>
      </c>
      <c r="Z16" s="238"/>
      <c r="AA16" s="238">
        <f t="shared" si="0"/>
        <v>131397.27455185741</v>
      </c>
      <c r="AB16" s="238"/>
      <c r="AC16" s="238">
        <f t="shared" si="0"/>
        <v>135996.17916117242</v>
      </c>
      <c r="AD16" s="238"/>
      <c r="AE16" s="238">
        <f t="shared" si="0"/>
        <v>140756.04543181343</v>
      </c>
      <c r="AF16" s="238"/>
      <c r="AG16" s="238">
        <f t="shared" si="0"/>
        <v>145682.5070219269</v>
      </c>
    </row>
    <row r="17" spans="1:33" s="225" customFormat="1" ht="13.8">
      <c r="A17" s="225" t="s">
        <v>569</v>
      </c>
      <c r="C17" s="249"/>
      <c r="E17" s="238">
        <f>Application!W855</f>
        <v>67500</v>
      </c>
      <c r="F17" s="238"/>
      <c r="G17" s="238">
        <f t="shared" si="0"/>
        <v>69862.5</v>
      </c>
      <c r="H17" s="238"/>
      <c r="I17" s="238">
        <f t="shared" si="0"/>
        <v>72307.6875</v>
      </c>
      <c r="J17" s="238"/>
      <c r="K17" s="238">
        <f t="shared" si="0"/>
        <v>74838.456562499996</v>
      </c>
      <c r="L17" s="238"/>
      <c r="M17" s="238">
        <f t="shared" si="0"/>
        <v>77457.802542187492</v>
      </c>
      <c r="N17" s="238"/>
      <c r="O17" s="238">
        <f t="shared" si="0"/>
        <v>80168.825631164043</v>
      </c>
      <c r="P17" s="238"/>
      <c r="Q17" s="238">
        <f t="shared" si="0"/>
        <v>82974.734528254776</v>
      </c>
      <c r="R17" s="238"/>
      <c r="S17" s="238">
        <f t="shared" si="0"/>
        <v>85878.850236743689</v>
      </c>
      <c r="T17" s="238"/>
      <c r="U17" s="238">
        <f t="shared" si="0"/>
        <v>88884.609995029707</v>
      </c>
      <c r="V17" s="238"/>
      <c r="W17" s="238">
        <f t="shared" si="0"/>
        <v>91995.571344855736</v>
      </c>
      <c r="X17" s="238"/>
      <c r="Y17" s="238">
        <f t="shared" si="0"/>
        <v>95215.41634192568</v>
      </c>
      <c r="Z17" s="238"/>
      <c r="AA17" s="238">
        <f t="shared" si="0"/>
        <v>98547.955913893078</v>
      </c>
      <c r="AB17" s="238"/>
      <c r="AC17" s="238">
        <f t="shared" si="0"/>
        <v>101997.13437087933</v>
      </c>
      <c r="AD17" s="238"/>
      <c r="AE17" s="238">
        <f t="shared" si="0"/>
        <v>105567.03407386009</v>
      </c>
      <c r="AF17" s="238"/>
      <c r="AG17" s="238">
        <f t="shared" si="0"/>
        <v>109261.88026644519</v>
      </c>
    </row>
    <row r="18" spans="1:33" s="225" customFormat="1" ht="13.8">
      <c r="A18" s="225" t="s">
        <v>852</v>
      </c>
      <c r="C18" s="249"/>
      <c r="E18" s="238">
        <f>Application!W862</f>
        <v>231500</v>
      </c>
      <c r="F18" s="238"/>
      <c r="G18" s="238">
        <f t="shared" si="0"/>
        <v>239602.49999999997</v>
      </c>
      <c r="H18" s="238"/>
      <c r="I18" s="238">
        <f t="shared" si="0"/>
        <v>247988.58749999997</v>
      </c>
      <c r="J18" s="238"/>
      <c r="K18" s="238">
        <f t="shared" si="0"/>
        <v>256668.18806249995</v>
      </c>
      <c r="L18" s="238"/>
      <c r="M18" s="238">
        <f t="shared" si="0"/>
        <v>265651.57464468741</v>
      </c>
      <c r="N18" s="238"/>
      <c r="O18" s="238">
        <f t="shared" si="0"/>
        <v>274949.37975725147</v>
      </c>
      <c r="P18" s="238"/>
      <c r="Q18" s="238">
        <f t="shared" si="0"/>
        <v>284572.60804875527</v>
      </c>
      <c r="R18" s="238"/>
      <c r="S18" s="238">
        <f t="shared" si="0"/>
        <v>294532.64933046169</v>
      </c>
      <c r="T18" s="238"/>
      <c r="U18" s="238">
        <f t="shared" si="0"/>
        <v>304841.29205702781</v>
      </c>
      <c r="V18" s="238"/>
      <c r="W18" s="238">
        <f t="shared" si="0"/>
        <v>315510.73727902374</v>
      </c>
      <c r="X18" s="238"/>
      <c r="Y18" s="238">
        <f t="shared" si="0"/>
        <v>326553.61308378953</v>
      </c>
      <c r="Z18" s="238"/>
      <c r="AA18" s="238">
        <f t="shared" si="0"/>
        <v>337982.98954172211</v>
      </c>
      <c r="AB18" s="238"/>
      <c r="AC18" s="238">
        <f t="shared" si="0"/>
        <v>349812.39417568233</v>
      </c>
      <c r="AD18" s="238"/>
      <c r="AE18" s="238">
        <f t="shared" si="0"/>
        <v>362055.8279718312</v>
      </c>
      <c r="AF18" s="238"/>
      <c r="AG18" s="238">
        <f t="shared" si="0"/>
        <v>374727.78195084527</v>
      </c>
    </row>
    <row r="19" spans="1:33" s="225" customFormat="1" ht="13.8">
      <c r="A19" s="225" t="s">
        <v>155</v>
      </c>
      <c r="C19" s="249"/>
      <c r="E19" s="238">
        <f>Application!W863</f>
        <v>87500</v>
      </c>
      <c r="F19" s="238"/>
      <c r="G19" s="238">
        <f t="shared" si="0"/>
        <v>90562.5</v>
      </c>
      <c r="H19" s="238"/>
      <c r="I19" s="238">
        <f t="shared" si="0"/>
        <v>93732.1875</v>
      </c>
      <c r="J19" s="238"/>
      <c r="K19" s="238">
        <f t="shared" si="0"/>
        <v>97012.814062499994</v>
      </c>
      <c r="L19" s="238"/>
      <c r="M19" s="238">
        <f t="shared" si="0"/>
        <v>100408.26255468749</v>
      </c>
      <c r="N19" s="238"/>
      <c r="O19" s="238">
        <f t="shared" si="0"/>
        <v>103922.55174410154</v>
      </c>
      <c r="P19" s="238"/>
      <c r="Q19" s="238">
        <f t="shared" si="0"/>
        <v>107559.84105514508</v>
      </c>
      <c r="R19" s="238"/>
      <c r="S19" s="238">
        <f t="shared" si="0"/>
        <v>111324.43549207515</v>
      </c>
      <c r="T19" s="238"/>
      <c r="U19" s="238">
        <f t="shared" si="0"/>
        <v>115220.79073429777</v>
      </c>
      <c r="V19" s="238"/>
      <c r="W19" s="238">
        <f t="shared" si="0"/>
        <v>119253.51840999819</v>
      </c>
      <c r="X19" s="238"/>
      <c r="Y19" s="238">
        <f t="shared" si="0"/>
        <v>123427.39155434811</v>
      </c>
      <c r="Z19" s="238"/>
      <c r="AA19" s="238">
        <f t="shared" si="0"/>
        <v>127747.35025875029</v>
      </c>
      <c r="AB19" s="238"/>
      <c r="AC19" s="238">
        <f t="shared" si="0"/>
        <v>132218.50751780655</v>
      </c>
      <c r="AD19" s="238"/>
      <c r="AE19" s="238">
        <f t="shared" si="0"/>
        <v>136846.15528092976</v>
      </c>
      <c r="AF19" s="238"/>
      <c r="AG19" s="238">
        <f t="shared" si="0"/>
        <v>141635.77071576228</v>
      </c>
    </row>
    <row r="20" spans="1:33" s="225" customFormat="1" ht="13.8">
      <c r="A20" s="225" t="s">
        <v>391</v>
      </c>
      <c r="C20" s="249"/>
      <c r="E20" s="238">
        <f>Application!W872</f>
        <v>63500</v>
      </c>
      <c r="F20" s="238"/>
      <c r="G20" s="238">
        <f t="shared" si="0"/>
        <v>65722.5</v>
      </c>
      <c r="H20" s="238"/>
      <c r="I20" s="238">
        <f t="shared" si="0"/>
        <v>68022.787499999991</v>
      </c>
      <c r="J20" s="238"/>
      <c r="K20" s="238">
        <f t="shared" si="0"/>
        <v>70403.585062499988</v>
      </c>
      <c r="L20" s="238"/>
      <c r="M20" s="238">
        <f t="shared" si="0"/>
        <v>72867.710539687483</v>
      </c>
      <c r="N20" s="238"/>
      <c r="O20" s="238">
        <f t="shared" si="0"/>
        <v>75418.080408576541</v>
      </c>
      <c r="P20" s="238"/>
      <c r="Q20" s="238">
        <f t="shared" si="0"/>
        <v>78057.713222876715</v>
      </c>
      <c r="R20" s="238"/>
      <c r="S20" s="238">
        <f t="shared" si="0"/>
        <v>80789.733185677396</v>
      </c>
      <c r="T20" s="238"/>
      <c r="U20" s="238">
        <f t="shared" si="0"/>
        <v>83617.373847176103</v>
      </c>
      <c r="V20" s="238"/>
      <c r="W20" s="238">
        <f t="shared" si="0"/>
        <v>86543.981931827264</v>
      </c>
      <c r="X20" s="238"/>
      <c r="Y20" s="238">
        <f t="shared" si="0"/>
        <v>89573.021299441214</v>
      </c>
      <c r="Z20" s="238"/>
      <c r="AA20" s="238">
        <f t="shared" si="0"/>
        <v>92708.077044921651</v>
      </c>
      <c r="AB20" s="238"/>
      <c r="AC20" s="238">
        <f t="shared" si="0"/>
        <v>95952.859741493899</v>
      </c>
      <c r="AD20" s="238"/>
      <c r="AE20" s="238">
        <f t="shared" si="0"/>
        <v>99311.209832446184</v>
      </c>
      <c r="AF20" s="238"/>
      <c r="AG20" s="238">
        <f t="shared" si="0"/>
        <v>102787.10217658179</v>
      </c>
    </row>
    <row r="21" spans="1:33" s="225" customFormat="1" ht="13.8">
      <c r="A21" s="242" t="s">
        <v>980</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3.8">
      <c r="A22" s="239" t="s">
        <v>853</v>
      </c>
      <c r="C22" s="249"/>
      <c r="E22" s="239">
        <f>SUM(E15:E21)</f>
        <v>635000</v>
      </c>
      <c r="G22" s="239">
        <f>SUM(G15:G21)</f>
        <v>657225</v>
      </c>
      <c r="I22" s="239">
        <f>SUM(I15:I21)</f>
        <v>680227.87499999988</v>
      </c>
      <c r="K22" s="239">
        <f>SUM(K15:K21)</f>
        <v>704035.85062499985</v>
      </c>
      <c r="M22" s="239">
        <f>SUM(M15:M21)</f>
        <v>728677.10539687471</v>
      </c>
      <c r="O22" s="239">
        <f>SUM(O15:O21)</f>
        <v>754180.80408576538</v>
      </c>
      <c r="Q22" s="239">
        <f>SUM(Q15:Q21)</f>
        <v>780577.13222876703</v>
      </c>
      <c r="S22" s="239">
        <f>SUM(S15:S21)</f>
        <v>807897.33185677393</v>
      </c>
      <c r="U22" s="239">
        <f>SUM(U15:U21)</f>
        <v>836173.73847176088</v>
      </c>
      <c r="W22" s="239">
        <f>SUM(W15:W21)</f>
        <v>865439.81931827241</v>
      </c>
      <c r="Y22" s="239">
        <f>SUM(Y15:Y21)</f>
        <v>895730.21299441194</v>
      </c>
      <c r="AA22" s="239">
        <f>SUM(AA15:AA21)</f>
        <v>927080.77044921624</v>
      </c>
      <c r="AC22" s="239">
        <f>SUM(AC15:AC21)</f>
        <v>959528.59741493862</v>
      </c>
      <c r="AE22" s="239">
        <f>SUM(AE15:AE21)</f>
        <v>993112.09832446137</v>
      </c>
      <c r="AG22" s="239">
        <f>SUM(AG15:AG21)</f>
        <v>1027871.0217658175</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855</v>
      </c>
      <c r="C27" s="253">
        <v>1.0349999999999999</v>
      </c>
      <c r="E27" s="238">
        <f>Application!AC888</f>
        <v>18000</v>
      </c>
      <c r="F27" s="238"/>
      <c r="G27" s="238">
        <f>E27*$C$27</f>
        <v>18630</v>
      </c>
      <c r="H27" s="238"/>
      <c r="I27" s="238">
        <f>G27*$C$27</f>
        <v>19282.05</v>
      </c>
      <c r="J27" s="238"/>
      <c r="K27" s="238">
        <f>I27*$C$27</f>
        <v>19956.921749999998</v>
      </c>
      <c r="L27" s="238"/>
      <c r="M27" s="238">
        <f>K27*$C$27</f>
        <v>20655.414011249995</v>
      </c>
      <c r="N27" s="238"/>
      <c r="O27" s="238">
        <f>M27*$C$27</f>
        <v>21378.353501643742</v>
      </c>
      <c r="P27" s="238"/>
      <c r="Q27" s="238">
        <f>O27*$C$27</f>
        <v>22126.59587420127</v>
      </c>
      <c r="R27" s="238"/>
      <c r="S27" s="238">
        <f>Q27*$C$27</f>
        <v>22901.026729798312</v>
      </c>
      <c r="T27" s="238"/>
      <c r="U27" s="238">
        <f>S27*$C$27</f>
        <v>23702.562665341251</v>
      </c>
      <c r="V27" s="238"/>
      <c r="W27" s="238">
        <f>U27*$C$27</f>
        <v>24532.152358628195</v>
      </c>
      <c r="X27" s="238"/>
      <c r="Y27" s="238">
        <f>W27*$C$27</f>
        <v>25390.777691180181</v>
      </c>
      <c r="Z27" s="238"/>
      <c r="AA27" s="238">
        <f>Y27*$C$27</f>
        <v>26279.454910371485</v>
      </c>
      <c r="AB27" s="238"/>
      <c r="AC27" s="238">
        <f>AA27*$C$27</f>
        <v>27199.235832234484</v>
      </c>
      <c r="AD27" s="238"/>
      <c r="AE27" s="238">
        <f>AC27*$C$27</f>
        <v>28151.209086362691</v>
      </c>
      <c r="AF27" s="238"/>
      <c r="AG27" s="238">
        <f>AE27*$C$27</f>
        <v>29136.501404385384</v>
      </c>
    </row>
    <row r="28" spans="1:33" s="225" customFormat="1" ht="13.8">
      <c r="A28" s="225" t="s">
        <v>856</v>
      </c>
      <c r="C28" s="253"/>
      <c r="E28" s="238">
        <f>Application!AC889</f>
        <v>25000</v>
      </c>
      <c r="F28" s="238"/>
      <c r="G28" s="238">
        <f>$E$28</f>
        <v>25000</v>
      </c>
      <c r="H28" s="238"/>
      <c r="I28" s="238">
        <f>$E$28</f>
        <v>25000</v>
      </c>
      <c r="J28" s="238"/>
      <c r="K28" s="238">
        <f>$E$28</f>
        <v>25000</v>
      </c>
      <c r="L28" s="238"/>
      <c r="M28" s="238">
        <f>$E$28</f>
        <v>25000</v>
      </c>
      <c r="N28" s="238"/>
      <c r="O28" s="238">
        <f>$E$28</f>
        <v>25000</v>
      </c>
      <c r="P28" s="238"/>
      <c r="Q28" s="238">
        <f>$E$28</f>
        <v>25000</v>
      </c>
      <c r="R28" s="238"/>
      <c r="S28" s="238">
        <f>$E$28</f>
        <v>25000</v>
      </c>
      <c r="T28" s="238"/>
      <c r="U28" s="238">
        <f>$E$28</f>
        <v>25000</v>
      </c>
      <c r="V28" s="238"/>
      <c r="W28" s="238">
        <f>$E$28</f>
        <v>25000</v>
      </c>
      <c r="X28" s="238"/>
      <c r="Y28" s="238">
        <f>$E$28</f>
        <v>25000</v>
      </c>
      <c r="Z28" s="238"/>
      <c r="AA28" s="238">
        <f>$E$28</f>
        <v>25000</v>
      </c>
      <c r="AB28" s="238"/>
      <c r="AC28" s="238">
        <f>$E$28</f>
        <v>25000</v>
      </c>
      <c r="AD28" s="238"/>
      <c r="AE28" s="238">
        <f>$E$28</f>
        <v>25000</v>
      </c>
      <c r="AF28" s="238"/>
      <c r="AG28" s="238">
        <f>$E$28</f>
        <v>25000</v>
      </c>
    </row>
    <row r="29" spans="1:33" s="225" customFormat="1" ht="13.8">
      <c r="A29" s="225" t="s">
        <v>1866</v>
      </c>
      <c r="C29" s="253"/>
      <c r="E29" s="238">
        <f>Application!AC890</f>
        <v>17417</v>
      </c>
      <c r="F29" s="238"/>
      <c r="G29" s="238">
        <f>$E$29</f>
        <v>17417</v>
      </c>
      <c r="H29" s="238"/>
      <c r="I29" s="238">
        <f>$E$29</f>
        <v>17417</v>
      </c>
      <c r="J29" s="238"/>
      <c r="K29" s="238">
        <f>$E$29</f>
        <v>17417</v>
      </c>
      <c r="L29" s="238"/>
      <c r="M29" s="238">
        <f>$E$29</f>
        <v>17417</v>
      </c>
      <c r="N29" s="238"/>
      <c r="O29" s="238">
        <f>$E$29</f>
        <v>17417</v>
      </c>
      <c r="P29" s="238"/>
      <c r="Q29" s="238">
        <f>$E$29</f>
        <v>17417</v>
      </c>
      <c r="R29" s="238"/>
      <c r="S29" s="238">
        <f>$E$29</f>
        <v>17417</v>
      </c>
      <c r="T29" s="238"/>
      <c r="U29" s="238">
        <f>$E$29</f>
        <v>17417</v>
      </c>
      <c r="V29" s="238"/>
      <c r="W29" s="238">
        <f>$E$29</f>
        <v>17417</v>
      </c>
      <c r="X29" s="238"/>
      <c r="Y29" s="238">
        <f>$E$29</f>
        <v>17417</v>
      </c>
      <c r="Z29" s="238"/>
      <c r="AA29" s="238">
        <f>$E$29</f>
        <v>17417</v>
      </c>
      <c r="AB29" s="238"/>
      <c r="AC29" s="238">
        <f>$E$29</f>
        <v>17417</v>
      </c>
      <c r="AD29" s="238"/>
      <c r="AE29" s="238">
        <f>$E$29</f>
        <v>17417</v>
      </c>
      <c r="AF29" s="238"/>
      <c r="AG29" s="238">
        <f>$E$29</f>
        <v>17417</v>
      </c>
    </row>
    <row r="30" spans="1:33" s="225" customFormat="1" ht="13.8">
      <c r="A30" s="225" t="s">
        <v>854</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3.8">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695417</v>
      </c>
      <c r="G35" s="239">
        <f>SUM(G22:G33)</f>
        <v>718272</v>
      </c>
      <c r="I35" s="239">
        <f>SUM(I22:I33)</f>
        <v>741926.92499999993</v>
      </c>
      <c r="K35" s="239">
        <f>SUM(K22:K33)</f>
        <v>766409.77237499983</v>
      </c>
      <c r="M35" s="239">
        <f>SUM(M22:M33)</f>
        <v>791749.51940812473</v>
      </c>
      <c r="O35" s="239">
        <f>SUM(O22:O33)</f>
        <v>817976.15758740914</v>
      </c>
      <c r="Q35" s="239">
        <f>SUM(Q22:Q33)</f>
        <v>845120.72810296831</v>
      </c>
      <c r="S35" s="239">
        <f>SUM(S22:S33)</f>
        <v>873215.35858657223</v>
      </c>
      <c r="U35" s="239">
        <f>SUM(U22:U33)</f>
        <v>902293.30113710219</v>
      </c>
      <c r="W35" s="239">
        <f>SUM(W22:W33)</f>
        <v>932388.97167690063</v>
      </c>
      <c r="Y35" s="239">
        <f>SUM(Y22:Y33)</f>
        <v>963537.99068559217</v>
      </c>
      <c r="AA35" s="239">
        <f>SUM(AA22:AA33)</f>
        <v>995777.2253595877</v>
      </c>
      <c r="AC35" s="239">
        <f>SUM(AC22:AC33)</f>
        <v>1029144.8332471731</v>
      </c>
      <c r="AE35" s="239">
        <f>SUM(AE22:AE33)</f>
        <v>1063680.3074108241</v>
      </c>
      <c r="AG35" s="239">
        <f>SUM(AG22:AG33)</f>
        <v>1099424.523170203</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857</v>
      </c>
      <c r="C37" s="240"/>
      <c r="E37" s="239">
        <f>E11-E35</f>
        <v>2648237.2000000002</v>
      </c>
      <c r="G37" s="239">
        <f>G11-G35</f>
        <v>2708973.5550000002</v>
      </c>
      <c r="I37" s="239">
        <f>I11-I35</f>
        <v>2770999.7688750001</v>
      </c>
      <c r="K37" s="239">
        <f>K11-K35</f>
        <v>2834340.0888468744</v>
      </c>
      <c r="M37" s="239">
        <f>M11-M35</f>
        <v>2899019.0883442955</v>
      </c>
      <c r="O37" s="239">
        <f>O11-O35</f>
        <v>2965061.6653588219</v>
      </c>
      <c r="Q37" s="239">
        <f>Q11-Q35</f>
        <v>3032493.0404169178</v>
      </c>
      <c r="S37" s="239">
        <f>S11-S35</f>
        <v>3101338.7541463105</v>
      </c>
      <c r="U37" s="239">
        <f>U11-U35</f>
        <v>3171624.6644141022</v>
      </c>
      <c r="W37" s="239">
        <f>W11-W35</f>
        <v>3243376.9430130841</v>
      </c>
      <c r="Y37" s="239">
        <f>Y11-Y35</f>
        <v>3316622.0718716411</v>
      </c>
      <c r="AA37" s="239">
        <f>AA11-AA35</f>
        <v>3391386.8387615765</v>
      </c>
      <c r="AC37" s="239">
        <f>AC11-AC35</f>
        <v>3467698.3324770196</v>
      </c>
      <c r="AE37" s="239">
        <f>AE11-AE35</f>
        <v>3545583.9374564728</v>
      </c>
      <c r="AG37" s="239">
        <f>AG11-AG35</f>
        <v>3625071.3278187765</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 xml:space="preserve">Citibank Permanent Loan </v>
      </c>
      <c r="B40" s="242"/>
      <c r="C40" s="236"/>
      <c r="E40" s="238">
        <f>Application!AF627</f>
        <v>2299980</v>
      </c>
      <c r="F40" s="238"/>
      <c r="G40" s="238">
        <f>$E$40</f>
        <v>2299980</v>
      </c>
      <c r="H40" s="238"/>
      <c r="I40" s="238">
        <f>$E$40</f>
        <v>2299980</v>
      </c>
      <c r="J40" s="238"/>
      <c r="K40" s="238">
        <f>$E$40</f>
        <v>2299980</v>
      </c>
      <c r="L40" s="238"/>
      <c r="M40" s="238">
        <f>$E$40</f>
        <v>2299980</v>
      </c>
      <c r="N40" s="238"/>
      <c r="O40" s="238">
        <f>$E$40</f>
        <v>2299980</v>
      </c>
      <c r="P40" s="238"/>
      <c r="Q40" s="238">
        <f>$E$40</f>
        <v>2299980</v>
      </c>
      <c r="R40" s="238"/>
      <c r="S40" s="238">
        <f>$E$40</f>
        <v>2299980</v>
      </c>
      <c r="T40" s="238"/>
      <c r="U40" s="238">
        <f>$E$40</f>
        <v>2299980</v>
      </c>
      <c r="V40" s="238"/>
      <c r="W40" s="238">
        <f>$E$40</f>
        <v>2299980</v>
      </c>
      <c r="X40" s="238"/>
      <c r="Y40" s="238">
        <f>$E$40</f>
        <v>2299980</v>
      </c>
      <c r="Z40" s="238"/>
      <c r="AA40" s="238">
        <f>$E$40</f>
        <v>2299980</v>
      </c>
      <c r="AB40" s="238"/>
      <c r="AC40" s="238">
        <f>$E$40</f>
        <v>2299980</v>
      </c>
      <c r="AD40" s="238"/>
      <c r="AE40" s="238">
        <f>$E$40</f>
        <v>2299980</v>
      </c>
      <c r="AF40" s="238"/>
      <c r="AG40" s="238">
        <f>$E$40</f>
        <v>2299980</v>
      </c>
    </row>
    <row r="41" spans="1:33" s="225" customFormat="1" ht="13.8">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858</v>
      </c>
      <c r="C43" s="240"/>
      <c r="E43" s="239">
        <f>SUM(E40:E42)</f>
        <v>2299980</v>
      </c>
      <c r="G43" s="239">
        <f>SUM(G40:G42)</f>
        <v>2299980</v>
      </c>
      <c r="I43" s="239">
        <f>SUM(I40:I42)</f>
        <v>2299980</v>
      </c>
      <c r="K43" s="239">
        <f>SUM(K40:K42)</f>
        <v>2299980</v>
      </c>
      <c r="M43" s="239">
        <f>SUM(M40:M42)</f>
        <v>2299980</v>
      </c>
      <c r="O43" s="239">
        <f>SUM(O40:O42)</f>
        <v>2299980</v>
      </c>
      <c r="Q43" s="239">
        <f>SUM(Q40:Q42)</f>
        <v>2299980</v>
      </c>
      <c r="S43" s="239">
        <f>SUM(S40:S42)</f>
        <v>2299980</v>
      </c>
      <c r="U43" s="239">
        <f>SUM(U40:U42)</f>
        <v>2299980</v>
      </c>
      <c r="W43" s="239">
        <f>SUM(W40:W42)</f>
        <v>2299980</v>
      </c>
      <c r="Y43" s="239">
        <f>SUM(Y40:Y42)</f>
        <v>2299980</v>
      </c>
      <c r="AA43" s="239">
        <f>SUM(AA40:AA42)</f>
        <v>2299980</v>
      </c>
      <c r="AC43" s="239">
        <f>SUM(AC40:AC42)</f>
        <v>2299980</v>
      </c>
      <c r="AE43" s="239">
        <f>SUM(AE40:AE42)</f>
        <v>2299980</v>
      </c>
      <c r="AG43" s="239">
        <f>SUM(AG40:AG42)</f>
        <v>2299980</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859</v>
      </c>
      <c r="C45" s="240"/>
      <c r="E45" s="239">
        <f>E37-E43</f>
        <v>348257.20000000019</v>
      </c>
      <c r="G45" s="239">
        <f>G37-G43</f>
        <v>408993.55500000017</v>
      </c>
      <c r="I45" s="239">
        <f>I37-I43</f>
        <v>471019.76887500007</v>
      </c>
      <c r="K45" s="239">
        <f>K37-K43</f>
        <v>534360.08884687442</v>
      </c>
      <c r="M45" s="239">
        <f>M37-M43</f>
        <v>599039.08834429551</v>
      </c>
      <c r="O45" s="239">
        <f>O37-O43</f>
        <v>665081.66535882186</v>
      </c>
      <c r="Q45" s="239">
        <f>Q37-Q43</f>
        <v>732513.04041691776</v>
      </c>
      <c r="S45" s="239">
        <f>S37-S43</f>
        <v>801358.7541463105</v>
      </c>
      <c r="U45" s="239">
        <f>U37-U43</f>
        <v>871644.66441410221</v>
      </c>
      <c r="W45" s="239">
        <f>W37-W43</f>
        <v>943396.94301308412</v>
      </c>
      <c r="Y45" s="239">
        <f>Y37-Y43</f>
        <v>1016642.0718716411</v>
      </c>
      <c r="AA45" s="239">
        <f>AA37-AA43</f>
        <v>1091406.8387615765</v>
      </c>
      <c r="AC45" s="239">
        <f>AC37-AC43</f>
        <v>1167718.3324770196</v>
      </c>
      <c r="AE45" s="239">
        <f>AE37-AE43</f>
        <v>1245603.9374564728</v>
      </c>
      <c r="AG45" s="239">
        <f>AG37-AG43</f>
        <v>1325091.3278187765</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861</v>
      </c>
      <c r="C47" s="236"/>
      <c r="E47" s="243">
        <f>E45/(E4+E6+E8)</f>
        <v>9.8946936558212323E-2</v>
      </c>
      <c r="G47" s="243">
        <f>G45/(G4+G6+G8)</f>
        <v>0.11336913886521918</v>
      </c>
      <c r="I47" s="243">
        <f>I45/(I4+I6+I8)</f>
        <v>0.12737777341367212</v>
      </c>
      <c r="K47" s="243">
        <f>K45/(K4+K6+K8)</f>
        <v>0.14098232422961701</v>
      </c>
      <c r="M47" s="243">
        <f>M45/(M4+M6+M8)</f>
        <v>0.15419203813853818</v>
      </c>
      <c r="O47" s="243">
        <f>O45/(O4+O6+O8)</f>
        <v>0.16701593049334443</v>
      </c>
      <c r="Q47" s="243">
        <f>Q45/(Q4+Q6+Q8)</f>
        <v>0.17946279076208696</v>
      </c>
      <c r="S47" s="243">
        <f>S45/(S4+S6+S8)</f>
        <v>0.19154118797882849</v>
      </c>
      <c r="U47" s="243">
        <f>U45/(U4+U6+U8)</f>
        <v>0.20325947606099123</v>
      </c>
      <c r="W47" s="243">
        <f>W45/(W4+W6+W8)</f>
        <v>0.21462579899643808</v>
      </c>
      <c r="Y47" s="243">
        <f>Y45/(Y4+Y6+Y8)</f>
        <v>0.22564809590345652</v>
      </c>
      <c r="AA47" s="243">
        <f>AA45/(AA4+AA6+AA8)</f>
        <v>0.23633410596674287</v>
      </c>
      <c r="AC47" s="243">
        <f>AC45/(AC4+AC6+AC8)</f>
        <v>0.24669137325239954</v>
      </c>
      <c r="AE47" s="243">
        <f>AE45/(AE4+AE6+AE8)</f>
        <v>0.25672725140489699</v>
      </c>
      <c r="AG47" s="243">
        <f>AG45/(AG4+AG6+AG8)</f>
        <v>0.26644890822886963</v>
      </c>
    </row>
    <row r="48" spans="1:33" s="243" customFormat="1" ht="13.8">
      <c r="A48" s="243" t="s">
        <v>862</v>
      </c>
      <c r="C48" s="236"/>
      <c r="E48" s="243">
        <f>E45/E43</f>
        <v>0.15141749058687476</v>
      </c>
      <c r="G48" s="243">
        <f>G45/G43</f>
        <v>0.17782483108548777</v>
      </c>
      <c r="I48" s="243">
        <f>I45/I43</f>
        <v>0.20479298466725801</v>
      </c>
      <c r="K48" s="243">
        <f>K45/K43</f>
        <v>0.23233249369423839</v>
      </c>
      <c r="M48" s="243">
        <f>M45/M43</f>
        <v>0.26045404235875769</v>
      </c>
      <c r="O48" s="243">
        <f>O45/O43</f>
        <v>0.28916845596867008</v>
      </c>
      <c r="Q48" s="243">
        <f>Q45/Q43</f>
        <v>0.31848670006561697</v>
      </c>
      <c r="S48" s="243">
        <f>S45/S43</f>
        <v>0.3484198793669121</v>
      </c>
      <c r="U48" s="243">
        <f>U45/U43</f>
        <v>0.37897923652123156</v>
      </c>
      <c r="W48" s="243">
        <f>W45/W43</f>
        <v>0.41017615066786844</v>
      </c>
      <c r="Y48" s="243">
        <f>Y45/Y43</f>
        <v>0.4420221357888508</v>
      </c>
      <c r="AA48" s="243">
        <f>AA45/AA43</f>
        <v>0.47452883884276231</v>
      </c>
      <c r="AC48" s="243">
        <f>AC45/AC43</f>
        <v>0.50770803766859696</v>
      </c>
      <c r="AE48" s="243">
        <f>AE45/AE43</f>
        <v>0.54157163864749813</v>
      </c>
      <c r="AG48" s="243">
        <f>AG45/AG43</f>
        <v>0.57613167410967769</v>
      </c>
    </row>
    <row r="49" spans="1:35" s="244" customFormat="1" ht="13.8">
      <c r="A49" s="244" t="s">
        <v>860</v>
      </c>
      <c r="C49" s="245"/>
      <c r="E49" s="244">
        <f>E37/E43</f>
        <v>1.1514174905868748</v>
      </c>
      <c r="G49" s="244">
        <f>G37/G43</f>
        <v>1.1778248310854877</v>
      </c>
      <c r="I49" s="244">
        <f>I37/I43</f>
        <v>1.204792984667258</v>
      </c>
      <c r="K49" s="244">
        <f>K37/K43</f>
        <v>1.2323324936942384</v>
      </c>
      <c r="M49" s="244">
        <f>M37/M43</f>
        <v>1.2604540423587578</v>
      </c>
      <c r="O49" s="244">
        <f>O37/O43</f>
        <v>1.28916845596867</v>
      </c>
      <c r="Q49" s="244">
        <f>Q37/Q43</f>
        <v>1.3184867000656171</v>
      </c>
      <c r="S49" s="244">
        <f>S37/S43</f>
        <v>1.3484198793669122</v>
      </c>
      <c r="U49" s="244">
        <f>U37/U43</f>
        <v>1.3789792365212317</v>
      </c>
      <c r="W49" s="244">
        <f>W37/W43</f>
        <v>1.4101761506678685</v>
      </c>
      <c r="Y49" s="244">
        <f>Y37/Y43</f>
        <v>1.4420221357888507</v>
      </c>
      <c r="AA49" s="244">
        <f>AA37/AA43</f>
        <v>1.4745288388427622</v>
      </c>
      <c r="AC49" s="244">
        <f>AC37/AC43</f>
        <v>1.507708037668597</v>
      </c>
      <c r="AE49" s="244">
        <f>AE37/AE43</f>
        <v>1.5415716386474982</v>
      </c>
      <c r="AG49" s="244">
        <f>AG37/AG43</f>
        <v>1.5761316741096776</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710" t="s">
        <v>1289</v>
      </c>
      <c r="B52" s="2710"/>
      <c r="C52" s="2710"/>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v>1.0349999999999999</v>
      </c>
      <c r="E53" s="999">
        <v>10800</v>
      </c>
      <c r="G53" s="995">
        <f>E53*$C$53</f>
        <v>11178</v>
      </c>
      <c r="I53" s="995">
        <f>G53*$C$53</f>
        <v>11569.23</v>
      </c>
      <c r="K53" s="995">
        <f>I53*$C$53</f>
        <v>11974.153049999999</v>
      </c>
      <c r="M53" s="995">
        <f>K53*$C$53</f>
        <v>12393.248406749997</v>
      </c>
      <c r="O53" s="995">
        <f>M53*$C$53</f>
        <v>12827.012100986247</v>
      </c>
      <c r="Q53" s="995">
        <f>O53*$C$53</f>
        <v>13275.957524520765</v>
      </c>
      <c r="S53" s="995">
        <f>Q53*$C$53</f>
        <v>13740.616037878992</v>
      </c>
      <c r="U53" s="995">
        <f>S53*$C$53</f>
        <v>14221.537599204756</v>
      </c>
      <c r="W53" s="995">
        <f>U53*$C$53</f>
        <v>14719.291415176922</v>
      </c>
      <c r="Y53" s="995">
        <f>W53*$C$53</f>
        <v>15234.466614708113</v>
      </c>
      <c r="AA53" s="995">
        <f>Y53*$C$53</f>
        <v>15767.672946222896</v>
      </c>
      <c r="AC53" s="995">
        <f>AA53*$C$53</f>
        <v>16319.541499340696</v>
      </c>
      <c r="AE53" s="995">
        <f>AC53*$C$53</f>
        <v>16890.72545181762</v>
      </c>
      <c r="AG53" s="995">
        <f>AE53*$C$53</f>
        <v>17481.900842631236</v>
      </c>
    </row>
    <row r="54" spans="1:35" s="3" customFormat="1">
      <c r="A54" s="3" t="s">
        <v>865</v>
      </c>
      <c r="C54" s="993"/>
      <c r="E54" s="1000">
        <v>5000</v>
      </c>
      <c r="F54" s="995"/>
      <c r="G54" s="995">
        <f t="shared" ref="G54:AG57" si="1">E54*$C$53</f>
        <v>5175</v>
      </c>
      <c r="H54" s="995"/>
      <c r="I54" s="995">
        <f t="shared" si="1"/>
        <v>5356.125</v>
      </c>
      <c r="J54" s="995"/>
      <c r="K54" s="995">
        <f t="shared" si="1"/>
        <v>5543.5893749999996</v>
      </c>
      <c r="L54" s="995"/>
      <c r="M54" s="995">
        <f t="shared" si="1"/>
        <v>5737.615003124999</v>
      </c>
      <c r="N54" s="995"/>
      <c r="O54" s="995">
        <f t="shared" si="1"/>
        <v>5938.4315282343732</v>
      </c>
      <c r="P54" s="995"/>
      <c r="Q54" s="995">
        <f t="shared" si="1"/>
        <v>6146.276631722576</v>
      </c>
      <c r="R54" s="995"/>
      <c r="S54" s="995">
        <f t="shared" si="1"/>
        <v>6361.3963138328654</v>
      </c>
      <c r="T54" s="995"/>
      <c r="U54" s="995">
        <f t="shared" si="1"/>
        <v>6584.0451848170151</v>
      </c>
      <c r="V54" s="995"/>
      <c r="W54" s="995">
        <f t="shared" si="1"/>
        <v>6814.4867662856104</v>
      </c>
      <c r="X54" s="995"/>
      <c r="Y54" s="995">
        <f t="shared" si="1"/>
        <v>7052.9938031056063</v>
      </c>
      <c r="Z54" s="995"/>
      <c r="AA54" s="995">
        <f t="shared" si="1"/>
        <v>7299.8485862143016</v>
      </c>
      <c r="AB54" s="995"/>
      <c r="AC54" s="995">
        <f t="shared" si="1"/>
        <v>7555.3432867318015</v>
      </c>
      <c r="AD54" s="995"/>
      <c r="AE54" s="995">
        <f t="shared" si="1"/>
        <v>7819.7803017674141</v>
      </c>
      <c r="AF54" s="995"/>
      <c r="AG54" s="995">
        <f t="shared" si="1"/>
        <v>8093.472612329273</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15800</v>
      </c>
      <c r="F58" s="995"/>
      <c r="G58" s="995">
        <f>SUM(G53:G57)</f>
        <v>16353</v>
      </c>
      <c r="H58" s="995"/>
      <c r="I58" s="995">
        <f>SUM(I53:I57)</f>
        <v>16925.355</v>
      </c>
      <c r="J58" s="995"/>
      <c r="K58" s="995">
        <f>SUM(K53:K57)</f>
        <v>17517.742424999997</v>
      </c>
      <c r="L58" s="995"/>
      <c r="M58" s="995">
        <f>SUM(M53:M57)</f>
        <v>18130.863409874997</v>
      </c>
      <c r="N58" s="995"/>
      <c r="O58" s="995">
        <f>SUM(O53:O57)</f>
        <v>18765.443629220619</v>
      </c>
      <c r="P58" s="995"/>
      <c r="Q58" s="995">
        <f>SUM(Q53:Q57)</f>
        <v>19422.234156243343</v>
      </c>
      <c r="R58" s="995"/>
      <c r="S58" s="995">
        <f>SUM(S53:S57)</f>
        <v>20102.012351711855</v>
      </c>
      <c r="T58" s="995"/>
      <c r="U58" s="995">
        <f>SUM(U53:U57)</f>
        <v>20805.582784021772</v>
      </c>
      <c r="V58" s="995"/>
      <c r="W58" s="995">
        <f>SUM(W53:W57)</f>
        <v>21533.778181462534</v>
      </c>
      <c r="X58" s="995"/>
      <c r="Y58" s="995">
        <f>SUM(Y53:Y57)</f>
        <v>22287.46041781372</v>
      </c>
      <c r="Z58" s="995"/>
      <c r="AA58" s="995">
        <f>SUM(AA53:AA57)</f>
        <v>23067.521532437197</v>
      </c>
      <c r="AB58" s="995"/>
      <c r="AC58" s="995">
        <f>SUM(AC53:AC57)</f>
        <v>23874.884786072496</v>
      </c>
      <c r="AD58" s="995"/>
      <c r="AE58" s="995">
        <f>SUM(AE53:AE57)</f>
        <v>24710.505753585036</v>
      </c>
      <c r="AF58" s="995"/>
      <c r="AG58" s="995">
        <f>SUM(AG53:AG57)</f>
        <v>25575.373454960507</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332457.20000000019</v>
      </c>
      <c r="G60" s="997">
        <f>G45-G58</f>
        <v>392640.55500000017</v>
      </c>
      <c r="I60" s="997">
        <f>I45-I58</f>
        <v>454094.41387500009</v>
      </c>
      <c r="K60" s="997">
        <f>K45-K58</f>
        <v>516842.34642187442</v>
      </c>
      <c r="M60" s="997">
        <f>M45-M58</f>
        <v>580908.22493442055</v>
      </c>
      <c r="O60" s="997">
        <f>O45-O58</f>
        <v>646316.22172960127</v>
      </c>
      <c r="Q60" s="997">
        <f>Q45-Q58</f>
        <v>713090.80626067438</v>
      </c>
      <c r="S60" s="997">
        <f>S45-S58</f>
        <v>781256.74179459864</v>
      </c>
      <c r="U60" s="997">
        <f>U45-U58</f>
        <v>850839.08163008047</v>
      </c>
      <c r="W60" s="997">
        <f>W45-W58</f>
        <v>921863.16483162157</v>
      </c>
      <c r="Y60" s="997">
        <f>Y45-Y58</f>
        <v>994354.61145382735</v>
      </c>
      <c r="AA60" s="997">
        <f>AA45-AA58</f>
        <v>1068339.3172291392</v>
      </c>
      <c r="AC60" s="997">
        <f>AC45-AC58</f>
        <v>1143843.4476909472</v>
      </c>
      <c r="AE60" s="997">
        <f>AE45-AE58</f>
        <v>1220893.4317028876</v>
      </c>
      <c r="AG60" s="997">
        <f>AG45-AG58</f>
        <v>1299515.954363816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1</v>
      </c>
      <c r="E62" s="999">
        <f>+IF(E60&gt;Application!AO628,0,'15 Year Pro Forma'!E60)</f>
        <v>332457.20000000019</v>
      </c>
      <c r="G62" s="997">
        <f>+IF(G60+SUM($E$62:F62)&lt;Application!$AO$628,'15 Year Pro Forma'!G60,(Application!$AO$628-SUM($E$62:F62)))</f>
        <v>392640.55500000017</v>
      </c>
      <c r="I62" s="997">
        <f>+IF(I60+SUM($E$62:H62)&lt;Application!$AO$628,'15 Year Pro Forma'!I60,(Application!$AO$628-SUM($E$62:H62)))</f>
        <v>454094.41387500009</v>
      </c>
      <c r="K62" s="997">
        <f>+IF(K60+SUM($E$62:J62)&lt;Application!$AO$628,'15 Year Pro Forma'!K60,(Application!$AO$628-SUM($E$62:J62)))</f>
        <v>516842.34642187442</v>
      </c>
      <c r="M62" s="997">
        <f>+IF(M60+SUM($E$62:L62)&lt;Application!$AO$628,'15 Year Pro Forma'!M60,(Application!$AO$628-SUM($E$62:L62)))</f>
        <v>580908.22493442055</v>
      </c>
      <c r="O62" s="997">
        <f>+IF(O60+SUM($E$62:N62)&lt;Application!$AO$628,'15 Year Pro Forma'!O60,(Application!$AO$628-SUM($E$62:N62)))</f>
        <v>646316.22172960127</v>
      </c>
      <c r="Q62" s="997">
        <f>+IF(Q60+SUM($E$62:P62)&lt;Application!$AO$628,'15 Year Pro Forma'!Q60,(Application!$AO$628-SUM($E$62:P62)))</f>
        <v>713090.80626067438</v>
      </c>
      <c r="S62" s="997">
        <f>+IF(S60+SUM($E$62:R62)&lt;Application!$AO$628,'15 Year Pro Forma'!S60,(Application!$AO$628-SUM($E$62:R62)))</f>
        <v>781256.74179459864</v>
      </c>
      <c r="U62" s="997">
        <f>+IF(U60+SUM($E$62:T62)&lt;Application!$AO$628,'15 Year Pro Forma'!U60,(Application!$AO$628-SUM($E$62:T62)))</f>
        <v>850839.08163008047</v>
      </c>
      <c r="W62" s="997">
        <f>+IF(W60+SUM($E$62:V62)&lt;Application!$AO$628,'15 Year Pro Forma'!W60,(Application!$AO$628-SUM($E$62:V62)))</f>
        <v>580679.40835374966</v>
      </c>
      <c r="Y62" s="997">
        <f>+IF(Y60+SUM($E$62:X62)&lt;Application!$AO$628,'15 Year Pro Forma'!Y60,(Application!$AO$628-SUM($E$62:X62)))</f>
        <v>0</v>
      </c>
      <c r="AA62" s="997">
        <f>+IF(AA60+SUM($E$62:Z62)&lt;Application!$AO$628,'15 Year Pro Forma'!AA60,(Application!$AO$628-SUM($E$62:Z62)))</f>
        <v>0</v>
      </c>
      <c r="AC62" s="997">
        <f>+IF(AC60+SUM($E$62:AB62)&lt;Application!$AO$628,'15 Year Pro Forma'!AC60,(Application!$AO$628-SUM($E$62:AB62)))</f>
        <v>0</v>
      </c>
      <c r="AE62" s="997">
        <f>+IF(AE60+SUM($E$62:AD62)&lt;Application!$AO$628,'15 Year Pro Forma'!AE60,(Application!$AO$628-SUM($E$62:AD62)))</f>
        <v>0</v>
      </c>
      <c r="AG62" s="997">
        <f>+IF(AG60+SUM($E$62:AF62)&lt;Application!$AO$628,'15 Year Pro Forma'!AG60,(Application!$AO$628-SUM($E$62:AF62)))</f>
        <v>0</v>
      </c>
    </row>
    <row r="63" spans="1:35" s="997" customFormat="1">
      <c r="A63" s="2710" t="s">
        <v>1289</v>
      </c>
      <c r="B63" s="2710"/>
      <c r="C63" s="2710"/>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2770</v>
      </c>
      <c r="B66" s="999"/>
      <c r="C66" s="998">
        <v>0.9</v>
      </c>
      <c r="E66" s="999">
        <f>+(E60-E62)*$C$66</f>
        <v>0</v>
      </c>
      <c r="G66" s="995">
        <f>+(G60-G62)*$C$66</f>
        <v>0</v>
      </c>
      <c r="I66" s="995">
        <f>+(I60-I62)*$C$66</f>
        <v>0</v>
      </c>
      <c r="K66" s="995">
        <f>+(K60-K62)*$C$66</f>
        <v>0</v>
      </c>
      <c r="M66" s="995">
        <f>+(M60-M62)*$C$66</f>
        <v>0</v>
      </c>
      <c r="O66" s="995">
        <f>+(O60-O62)*$C$66</f>
        <v>0</v>
      </c>
      <c r="Q66" s="995">
        <f>+(Q60-Q62)*$C$66</f>
        <v>0</v>
      </c>
      <c r="S66" s="995">
        <f>+(S60-S62)*$C$66</f>
        <v>0</v>
      </c>
      <c r="U66" s="995">
        <f>+(U60-U62)*$C$66</f>
        <v>0</v>
      </c>
      <c r="W66" s="995">
        <f>+(W60-W62)*$C$66</f>
        <v>307065.38083008473</v>
      </c>
      <c r="Y66" s="995">
        <f>+(Y60-Y62)*$C$66</f>
        <v>894919.15030844463</v>
      </c>
      <c r="AA66" s="995">
        <f>+(AA60-AA62)*$C$66</f>
        <v>961505.38550622528</v>
      </c>
      <c r="AC66" s="995">
        <f>+(AC60-AC62)*$C$66</f>
        <v>1029459.1029218525</v>
      </c>
      <c r="AE66" s="995">
        <f>+(AE60-AE62)*$C$66</f>
        <v>1098804.0885325989</v>
      </c>
      <c r="AG66" s="995">
        <f>+(AG60-AG62)*$C$66</f>
        <v>1169564.3589274343</v>
      </c>
    </row>
    <row r="67" spans="1:35" s="995" customFormat="1">
      <c r="A67" s="1000" t="s">
        <v>2784</v>
      </c>
      <c r="B67" s="1000"/>
      <c r="C67" s="1265">
        <v>0.99990000000000001</v>
      </c>
      <c r="E67" s="999"/>
      <c r="G67" s="995">
        <f>+(G$60-G$62-G$66)*$C$67</f>
        <v>0</v>
      </c>
      <c r="I67" s="995">
        <f>+(I$60-I$62-I$66)*$C$67</f>
        <v>0</v>
      </c>
      <c r="K67" s="995">
        <f>+(K$60-K$62-K$66)*$C$67</f>
        <v>0</v>
      </c>
      <c r="M67" s="995">
        <f>+(M$60-M$62-M$66)*$C$67</f>
        <v>0</v>
      </c>
      <c r="O67" s="995">
        <f>+(O$60-O$62-O$66)*$C$67</f>
        <v>0</v>
      </c>
      <c r="Q67" s="995">
        <f>+(Q$60-Q$62-Q$66)*$C$67</f>
        <v>0</v>
      </c>
      <c r="S67" s="995">
        <f>+(S$60-S$62-S$66)*$C$67</f>
        <v>0</v>
      </c>
      <c r="U67" s="995">
        <f>+(U$60-U$62-U$66)*$C$67</f>
        <v>0</v>
      </c>
      <c r="W67" s="995">
        <f>+(W$60-W$62-W$66)*$C$67</f>
        <v>34114.963810222398</v>
      </c>
      <c r="Y67" s="995">
        <f>+(Y$60-Y$62-Y$66)*$C$67</f>
        <v>99425.517599268191</v>
      </c>
      <c r="AA67" s="995">
        <f>+(AA$60-AA$62-AA$66)*$C$67</f>
        <v>106823.24832974157</v>
      </c>
      <c r="AC67" s="995">
        <f>+(AC$60-AC$62-AC$66)*$C$67</f>
        <v>114372.90633461782</v>
      </c>
      <c r="AE67" s="995">
        <f>+(AE$60-AE$62-AE$66)*$C$67</f>
        <v>122077.13423597169</v>
      </c>
      <c r="AG67" s="995">
        <f>+(AG$60-AG$62-AG$66)*$C$67</f>
        <v>129938.600276838</v>
      </c>
    </row>
    <row r="68" spans="1:35" s="995" customFormat="1">
      <c r="A68" s="1000" t="s">
        <v>2785</v>
      </c>
      <c r="B68" s="1000"/>
      <c r="C68" s="1265">
        <f>1-C67</f>
        <v>9.9999999999988987E-5</v>
      </c>
      <c r="E68" s="1000"/>
      <c r="G68" s="995">
        <f>+(G$60-G$62-G$66)*$C$68</f>
        <v>0</v>
      </c>
      <c r="I68" s="995">
        <f>+(I$60-I$62-I$66)*$C$68</f>
        <v>0</v>
      </c>
      <c r="K68" s="995">
        <f>+(K$60-K$62-K$66)*$C$68</f>
        <v>0</v>
      </c>
      <c r="M68" s="995">
        <f>+(M$60-M$62-M$66)*$C$68</f>
        <v>0</v>
      </c>
      <c r="O68" s="995">
        <f>+(O$60-O$62-O$66)*$C$68</f>
        <v>0</v>
      </c>
      <c r="Q68" s="995">
        <f>+(Q$60-Q$62-Q$66)*$C$68</f>
        <v>0</v>
      </c>
      <c r="S68" s="995">
        <f>+(S$60-S$62-S$66)*$C$68</f>
        <v>0</v>
      </c>
      <c r="U68" s="995">
        <f>+(U$60-U$62-U$66)*$C$68</f>
        <v>0</v>
      </c>
      <c r="W68" s="995">
        <f>+(W$60-W$62-W$66)*$C$68</f>
        <v>3.4118375647783421</v>
      </c>
      <c r="Y68" s="995">
        <f>+(Y$60-Y$62-Y$66)*$C$68</f>
        <v>9.9435461145371775</v>
      </c>
      <c r="AA68" s="995">
        <f>+(AA$60-AA$62-AA$66)*$C$68</f>
        <v>10.683393172290211</v>
      </c>
      <c r="AC68" s="995">
        <f>+(AC$60-AC$62-AC$66)*$C$68</f>
        <v>11.438434476908212</v>
      </c>
      <c r="AE68" s="995">
        <f>+(AE$60-AE$62-AE$66)*$C$68</f>
        <v>12.208934317027527</v>
      </c>
      <c r="AG68" s="995">
        <f>+(AG$60-AG$62-AG$66)*$C$68</f>
        <v>12.995159543636733</v>
      </c>
    </row>
    <row r="69" spans="1:35" s="995" customFormat="1">
      <c r="A69" s="1000"/>
      <c r="B69" s="1000"/>
      <c r="C69" s="1005"/>
      <c r="E69" s="1002"/>
      <c r="G69" s="1003">
        <f t="shared" ref="G69:AG69" si="2">E69*$C$66</f>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341183.75647787191</v>
      </c>
      <c r="Y70" s="995">
        <f>SUM(Y66:Y69)</f>
        <v>994354.61145382735</v>
      </c>
      <c r="AA70" s="995">
        <f>SUM(AA66:AA69)</f>
        <v>1068339.3172291392</v>
      </c>
      <c r="AC70" s="995">
        <f>SUM(AC66:AC69)</f>
        <v>1143843.4476909472</v>
      </c>
      <c r="AE70" s="995">
        <f>SUM(AE66:AE69)</f>
        <v>1220893.4317028876</v>
      </c>
      <c r="AG70" s="995">
        <f>SUM(AG66:AG69)</f>
        <v>1299515.954363816</v>
      </c>
    </row>
    <row r="71" spans="1:35" s="995" customFormat="1">
      <c r="A71" s="997"/>
      <c r="C71" s="1005"/>
    </row>
    <row r="72" spans="1:35" s="995" customFormat="1">
      <c r="A72" s="997" t="s">
        <v>1910</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708" t="s">
        <v>1908</v>
      </c>
      <c r="B77" s="2709"/>
      <c r="C77" s="2709"/>
      <c r="D77" s="2709"/>
      <c r="E77" s="2709"/>
      <c r="F77" s="2709"/>
      <c r="G77" s="2709"/>
      <c r="H77" s="2709"/>
      <c r="I77" s="2709"/>
      <c r="J77" s="2709"/>
      <c r="K77" s="2709"/>
      <c r="L77" s="2709"/>
      <c r="M77" s="2709"/>
      <c r="N77" s="2709"/>
      <c r="O77" s="2709"/>
      <c r="P77" s="2709"/>
      <c r="Q77" s="2709"/>
      <c r="R77" s="2709"/>
      <c r="S77" s="2709"/>
      <c r="T77" s="2709"/>
      <c r="U77" s="2709"/>
      <c r="V77" s="2709"/>
      <c r="W77" s="2709"/>
      <c r="X77" s="2709"/>
      <c r="Y77" s="2709"/>
      <c r="Z77" s="2709"/>
      <c r="AA77" s="2709"/>
      <c r="AB77" s="2709"/>
      <c r="AC77" s="2709"/>
      <c r="AD77" s="2709"/>
      <c r="AE77" s="2709"/>
      <c r="AF77" s="2709"/>
      <c r="AG77" s="2709"/>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77734375" hidden="1"/>
  </cols>
  <sheetData>
    <row r="1" spans="1:1" ht="46.8">
      <c r="A1" s="337" t="s">
        <v>989</v>
      </c>
    </row>
    <row r="2" spans="1:1" ht="15.6">
      <c r="A2" s="338"/>
    </row>
    <row r="3" spans="1:1" ht="15.6">
      <c r="A3" s="339" t="s">
        <v>984</v>
      </c>
    </row>
    <row r="4" spans="1:1" ht="15.6">
      <c r="A4" s="339" t="s">
        <v>985</v>
      </c>
    </row>
    <row r="5" spans="1:1" ht="15.6">
      <c r="A5" s="339" t="s">
        <v>986</v>
      </c>
    </row>
    <row r="6" spans="1:1" ht="15.6">
      <c r="A6" s="339" t="s">
        <v>988</v>
      </c>
    </row>
    <row r="7" spans="1:1" ht="15.6">
      <c r="A7" s="339" t="s">
        <v>987</v>
      </c>
    </row>
    <row r="8" spans="1:1" ht="15.6">
      <c r="A8" s="374" t="s">
        <v>1047</v>
      </c>
    </row>
    <row r="9" spans="1:1" ht="15.6">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1322</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8500000</v>
      </c>
      <c r="C5" s="286">
        <f>'Sources and Uses Budget'!$C4</f>
        <v>8500000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8500000</v>
      </c>
      <c r="C9" s="290">
        <f>SUM(C5:C8)</f>
        <v>8500000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400000</v>
      </c>
      <c r="C11" s="286">
        <f>'Sources and Uses Budget'!$C10</f>
        <v>400000</v>
      </c>
      <c r="D11" s="290">
        <f t="shared" si="0"/>
        <v>0</v>
      </c>
      <c r="E11" s="288"/>
      <c r="F11" s="287"/>
      <c r="G11" s="383"/>
    </row>
    <row r="12" spans="1:7" s="380" customFormat="1">
      <c r="A12" s="396" t="s">
        <v>604</v>
      </c>
      <c r="B12" s="290">
        <f>SUM(B10:B11)</f>
        <v>400000</v>
      </c>
      <c r="C12" s="290">
        <f>SUM(C10:C11)</f>
        <v>400000</v>
      </c>
      <c r="D12" s="290">
        <f t="shared" si="0"/>
        <v>0</v>
      </c>
      <c r="E12" s="288"/>
      <c r="F12" s="287"/>
      <c r="G12" s="383"/>
    </row>
    <row r="13" spans="1:7" s="380" customFormat="1">
      <c r="A13" s="396" t="s">
        <v>84</v>
      </c>
      <c r="B13" s="290">
        <f>SUM(B9+B12)</f>
        <v>8900000</v>
      </c>
      <c r="C13" s="290">
        <f>SUM(C9+C12)</f>
        <v>8900000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2.8">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1000000</v>
      </c>
      <c r="C30" s="286">
        <f>'Sources and Uses Budget'!$C29</f>
        <v>1000000</v>
      </c>
      <c r="D30" s="290">
        <f t="shared" si="0"/>
        <v>0</v>
      </c>
      <c r="E30" s="288"/>
      <c r="F30" s="287"/>
      <c r="G30" s="383"/>
    </row>
    <row r="31" spans="1:7" s="380" customFormat="1">
      <c r="A31" s="145" t="s">
        <v>607</v>
      </c>
      <c r="B31" s="286">
        <f>'Sources and Uses Budget'!$C30</f>
        <v>34468212</v>
      </c>
      <c r="C31" s="286">
        <f>'Sources and Uses Budget'!$C30</f>
        <v>34468212</v>
      </c>
      <c r="D31" s="290">
        <f t="shared" si="0"/>
        <v>0</v>
      </c>
      <c r="E31" s="288"/>
      <c r="F31" s="287"/>
      <c r="G31" s="383"/>
    </row>
    <row r="32" spans="1:7" s="380" customFormat="1">
      <c r="A32" s="145" t="s">
        <v>608</v>
      </c>
      <c r="B32" s="286">
        <f>'Sources and Uses Budget'!$C31</f>
        <v>2582511</v>
      </c>
      <c r="C32" s="286">
        <f>'Sources and Uses Budget'!$C31</f>
        <v>2582511</v>
      </c>
      <c r="D32" s="290">
        <f t="shared" si="0"/>
        <v>0</v>
      </c>
      <c r="E32" s="288"/>
      <c r="F32" s="287"/>
      <c r="G32" s="383"/>
    </row>
    <row r="33" spans="1:7" s="380" customFormat="1">
      <c r="A33" s="145" t="s">
        <v>137</v>
      </c>
      <c r="B33" s="286">
        <f>'Sources and Uses Budget'!$C32</f>
        <v>860837.1</v>
      </c>
      <c r="C33" s="286">
        <f>'Sources and Uses Budget'!$C32</f>
        <v>860837.1</v>
      </c>
      <c r="D33" s="290">
        <f t="shared" si="0"/>
        <v>0</v>
      </c>
      <c r="E33" s="288"/>
      <c r="F33" s="287"/>
      <c r="G33" s="383"/>
    </row>
    <row r="34" spans="1:7" s="380" customFormat="1">
      <c r="A34" s="145" t="s">
        <v>138</v>
      </c>
      <c r="B34" s="286">
        <f>'Sources and Uses Budget'!$C33</f>
        <v>2582511</v>
      </c>
      <c r="C34" s="286">
        <f>'Sources and Uses Budget'!$C33</f>
        <v>2582511</v>
      </c>
      <c r="D34" s="290">
        <f t="shared" si="0"/>
        <v>0</v>
      </c>
      <c r="E34" s="288"/>
      <c r="F34" s="287"/>
      <c r="G34" s="383"/>
    </row>
    <row r="35" spans="1:7" s="380" customFormat="1">
      <c r="A35" s="145" t="s">
        <v>139</v>
      </c>
      <c r="B35" s="286">
        <f>'Sources and Uses Budget'!$C34</f>
        <v>7173642</v>
      </c>
      <c r="C35" s="286">
        <f>'Sources and Uses Budget'!$C34</f>
        <v>7173642</v>
      </c>
      <c r="D35" s="290">
        <f t="shared" si="0"/>
        <v>0</v>
      </c>
      <c r="E35" s="288"/>
      <c r="F35" s="287"/>
      <c r="G35" s="383"/>
    </row>
    <row r="36" spans="1:7" s="380" customFormat="1">
      <c r="A36" s="145" t="s">
        <v>140</v>
      </c>
      <c r="B36" s="286">
        <f>'Sources and Uses Budget'!$C35</f>
        <v>490677.1</v>
      </c>
      <c r="C36" s="286">
        <f>'Sources and Uses Budget'!$C35</f>
        <v>490677.1</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(Bond Premium)</v>
      </c>
      <c r="B38" s="286">
        <f>'Sources and Uses Budget'!$C37</f>
        <v>0</v>
      </c>
      <c r="C38" s="286">
        <f>'Sources and Uses Budget'!$C37</f>
        <v>0</v>
      </c>
      <c r="D38" s="290">
        <f t="shared" si="0"/>
        <v>0</v>
      </c>
      <c r="E38" s="288"/>
      <c r="F38" s="287"/>
      <c r="G38" s="383"/>
    </row>
    <row r="39" spans="1:7" s="380" customFormat="1">
      <c r="A39" s="291" t="s">
        <v>143</v>
      </c>
      <c r="B39" s="290">
        <f>SUM(B30:B38)</f>
        <v>49158390.200000003</v>
      </c>
      <c r="C39" s="290">
        <f>SUM(C30:C38)</f>
        <v>49158390.200000003</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1350000</v>
      </c>
      <c r="C41" s="286">
        <f>'Sources and Uses Budget'!$C40</f>
        <v>1350000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1350000</v>
      </c>
      <c r="C43" s="290">
        <f>SUM(C41:C42)</f>
        <v>1350000</v>
      </c>
      <c r="D43" s="290">
        <f t="shared" si="0"/>
        <v>0</v>
      </c>
      <c r="E43" s="288"/>
      <c r="F43" s="287"/>
      <c r="G43" s="383"/>
    </row>
    <row r="44" spans="1:7" s="380" customFormat="1">
      <c r="A44" s="291" t="s">
        <v>148</v>
      </c>
      <c r="B44" s="286">
        <f>'Sources and Uses Budget'!$C43</f>
        <v>650000</v>
      </c>
      <c r="C44" s="286">
        <f>'Sources and Uses Budget'!$C43</f>
        <v>650000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6457039.5</v>
      </c>
      <c r="C46" s="286">
        <f>'Sources and Uses Budget'!$C45</f>
        <v>6457039.5</v>
      </c>
      <c r="D46" s="290">
        <f t="shared" si="0"/>
        <v>0</v>
      </c>
      <c r="E46" s="288"/>
      <c r="F46" s="287"/>
      <c r="G46" s="383"/>
    </row>
    <row r="47" spans="1:7" s="380" customFormat="1">
      <c r="A47" s="145" t="s">
        <v>151</v>
      </c>
      <c r="B47" s="286">
        <f>'Sources and Uses Budget'!$C46</f>
        <v>492819.5</v>
      </c>
      <c r="C47" s="286">
        <f>'Sources and Uses Budget'!$C46</f>
        <v>492819.5</v>
      </c>
      <c r="D47" s="290">
        <f t="shared" si="0"/>
        <v>0</v>
      </c>
      <c r="E47" s="288"/>
      <c r="F47" s="287"/>
      <c r="G47" s="383"/>
    </row>
    <row r="48" spans="1:7" s="380" customFormat="1" ht="12" customHeight="1">
      <c r="A48" s="198" t="s">
        <v>152</v>
      </c>
      <c r="B48" s="286">
        <f>'Sources and Uses Budget'!$C47</f>
        <v>15000</v>
      </c>
      <c r="C48" s="286">
        <f>'Sources and Uses Budget'!$C47</f>
        <v>15000</v>
      </c>
      <c r="D48" s="290">
        <f t="shared" si="0"/>
        <v>0</v>
      </c>
      <c r="E48" s="288"/>
      <c r="F48" s="287"/>
      <c r="G48" s="383"/>
    </row>
    <row r="49" spans="1:7" s="380" customFormat="1">
      <c r="A49" s="145" t="s">
        <v>153</v>
      </c>
      <c r="B49" s="286">
        <f>'Sources and Uses Budget'!$C48</f>
        <v>441609.4</v>
      </c>
      <c r="C49" s="286">
        <f>'Sources and Uses Budget'!$C48</f>
        <v>441609.4</v>
      </c>
      <c r="D49" s="290">
        <f t="shared" si="0"/>
        <v>0</v>
      </c>
      <c r="E49" s="288"/>
      <c r="F49" s="287"/>
      <c r="G49" s="383"/>
    </row>
    <row r="50" spans="1:7" s="380" customFormat="1">
      <c r="A50" s="145" t="s">
        <v>57</v>
      </c>
      <c r="B50" s="286">
        <f>'Sources and Uses Budget'!$C49</f>
        <v>123205</v>
      </c>
      <c r="C50" s="286">
        <f>'Sources and Uses Budget'!$C49</f>
        <v>123205</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105000</v>
      </c>
      <c r="C52" s="286">
        <f>'Sources and Uses Budget'!$C51</f>
        <v>105000</v>
      </c>
      <c r="D52" s="290">
        <f t="shared" si="0"/>
        <v>0</v>
      </c>
      <c r="E52" s="288"/>
      <c r="F52" s="287"/>
      <c r="G52" s="383"/>
    </row>
    <row r="53" spans="1:7" s="380" customFormat="1">
      <c r="A53" s="145" t="s">
        <v>155</v>
      </c>
      <c r="B53" s="286">
        <f>'Sources and Uses Budget'!$C52</f>
        <v>750000</v>
      </c>
      <c r="C53" s="286">
        <f>'Sources and Uses Budget'!$C52</f>
        <v>750000</v>
      </c>
      <c r="D53" s="290">
        <f t="shared" si="0"/>
        <v>0</v>
      </c>
      <c r="E53" s="288"/>
      <c r="F53" s="287"/>
      <c r="G53" s="383"/>
    </row>
    <row r="54" spans="1:7" s="380" customFormat="1">
      <c r="A54" s="155" t="str">
        <f>'Sources and Uses Budget'!A53</f>
        <v>Other: (Employment Reporting)</v>
      </c>
      <c r="B54" s="286">
        <f>'Sources and Uses Budget'!$C53</f>
        <v>25000</v>
      </c>
      <c r="C54" s="286">
        <f>'Sources and Uses Budget'!$C53</f>
        <v>25000</v>
      </c>
      <c r="D54" s="290">
        <f t="shared" si="0"/>
        <v>0</v>
      </c>
      <c r="E54" s="288"/>
      <c r="F54" s="287"/>
      <c r="G54" s="383"/>
    </row>
    <row r="55" spans="1:7" s="381" customFormat="1">
      <c r="A55" s="291" t="s">
        <v>157</v>
      </c>
      <c r="B55" s="293">
        <f>SUM(B46:B54)</f>
        <v>8509673.4000000004</v>
      </c>
      <c r="C55" s="293">
        <f>SUM(C46:C54)</f>
        <v>8509673.4000000004</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(Perm Legal)</v>
      </c>
      <c r="B62" s="286">
        <f>'Sources and Uses Budget'!$C61</f>
        <v>15000</v>
      </c>
      <c r="C62" s="286">
        <f>'Sources and Uses Budget'!$C61</f>
        <v>15000</v>
      </c>
      <c r="D62" s="290">
        <f t="shared" si="0"/>
        <v>0</v>
      </c>
      <c r="E62" s="288"/>
      <c r="F62" s="287"/>
      <c r="G62" s="383"/>
    </row>
    <row r="63" spans="1:7" s="380" customFormat="1" ht="13.8" customHeight="1">
      <c r="A63" s="291" t="s">
        <v>302</v>
      </c>
      <c r="B63" s="290">
        <f>SUM(B57:B62)</f>
        <v>25000</v>
      </c>
      <c r="C63" s="290">
        <f>SUM(C57:C62)</f>
        <v>25000</v>
      </c>
      <c r="D63" s="290">
        <f t="shared" si="0"/>
        <v>0</v>
      </c>
      <c r="E63" s="288"/>
      <c r="F63" s="287"/>
      <c r="G63" s="383"/>
    </row>
    <row r="64" spans="1:7" s="380" customFormat="1">
      <c r="A64" s="294" t="s">
        <v>303</v>
      </c>
      <c r="B64" s="290">
        <f>SUM(B9+B12+B14+B15+B17+B26+B28+B39+B43+B44+B55+B63)</f>
        <v>68593063.600000009</v>
      </c>
      <c r="C64" s="290">
        <f>SUM(C9+C12+C14+C15+C17+C26+C28+C39+C43+C44+C55+C63)</f>
        <v>68593063.600000009</v>
      </c>
      <c r="D64" s="290">
        <f t="shared" si="0"/>
        <v>0</v>
      </c>
      <c r="E64" s="288"/>
      <c r="F64" s="287"/>
      <c r="G64" s="383"/>
    </row>
    <row r="65" spans="1:7" s="380" customFormat="1" ht="22.8">
      <c r="A65" s="141" t="s">
        <v>1754</v>
      </c>
      <c r="B65" s="284"/>
      <c r="C65" s="284"/>
      <c r="D65" s="284"/>
      <c r="E65" s="303"/>
      <c r="F65" s="284"/>
      <c r="G65" s="383"/>
    </row>
    <row r="66" spans="1:7" s="380" customFormat="1">
      <c r="A66" s="145" t="s">
        <v>171</v>
      </c>
      <c r="B66" s="286">
        <f>'Sources and Uses Budget'!$C65</f>
        <v>100000</v>
      </c>
      <c r="C66" s="286">
        <f>'Sources and Uses Budget'!$C65</f>
        <v>100000</v>
      </c>
      <c r="D66" s="290">
        <f t="shared" si="0"/>
        <v>0</v>
      </c>
      <c r="E66" s="288"/>
      <c r="F66" s="287"/>
      <c r="G66" s="383"/>
    </row>
    <row r="67" spans="1:7" s="380" customFormat="1" ht="22.8">
      <c r="A67" s="304" t="s">
        <v>1751</v>
      </c>
      <c r="B67" s="286">
        <f>'Sources and Uses Budget'!$C66</f>
        <v>0</v>
      </c>
      <c r="C67" s="286">
        <f>'Sources and Uses Budget'!$C66</f>
        <v>0</v>
      </c>
      <c r="D67" s="290"/>
      <c r="E67" s="288"/>
      <c r="F67" s="287"/>
      <c r="G67" s="383"/>
    </row>
    <row r="68" spans="1:7" s="380" customFormat="1" ht="22.8">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ht="22.8">
      <c r="A70" s="155" t="str">
        <f>'Sources and Uses Budget'!A69</f>
        <v>Other: (Lender, Investor,Bond Issuer, MGP Legal)</v>
      </c>
      <c r="B70" s="286">
        <f>'Sources and Uses Budget'!$C69</f>
        <v>225000</v>
      </c>
      <c r="C70" s="286">
        <f>'Sources and Uses Budget'!$C69</f>
        <v>225000</v>
      </c>
      <c r="D70" s="290">
        <f t="shared" si="0"/>
        <v>0</v>
      </c>
      <c r="E70" s="288"/>
      <c r="F70" s="287"/>
      <c r="G70" s="383"/>
    </row>
    <row r="71" spans="1:7" s="380" customFormat="1">
      <c r="A71" s="149" t="s">
        <v>1755</v>
      </c>
      <c r="B71" s="290">
        <f>SUM(B66:B70)</f>
        <v>325000</v>
      </c>
      <c r="C71" s="290">
        <f>SUM(C66:C70)</f>
        <v>325000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613</v>
      </c>
      <c r="B76" s="286">
        <f>'Sources and Uses Budget'!$C75</f>
        <v>779349.4</v>
      </c>
      <c r="C76" s="286">
        <f>'Sources and Uses Budget'!$C75</f>
        <v>779349.4</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779349.4</v>
      </c>
      <c r="C78" s="290">
        <f>SUM(C73:C77)</f>
        <v>779349.4</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2500000</v>
      </c>
      <c r="C80" s="286">
        <f>'Sources and Uses Budget'!$C79</f>
        <v>2500000</v>
      </c>
      <c r="D80" s="290">
        <f t="shared" si="1"/>
        <v>0</v>
      </c>
      <c r="E80" s="288"/>
      <c r="F80" s="287"/>
      <c r="G80" s="383"/>
    </row>
    <row r="81" spans="1:7" s="380" customFormat="1">
      <c r="A81" s="544" t="s">
        <v>58</v>
      </c>
      <c r="B81" s="286">
        <f>'Sources and Uses Budget'!$C80</f>
        <v>631820</v>
      </c>
      <c r="C81" s="286">
        <f>'Sources and Uses Budget'!$C80</f>
        <v>631820</v>
      </c>
      <c r="D81" s="290">
        <f>C81-B81</f>
        <v>0</v>
      </c>
      <c r="E81" s="288"/>
      <c r="F81" s="287"/>
      <c r="G81" s="383"/>
    </row>
    <row r="82" spans="1:7" s="380" customFormat="1">
      <c r="A82" s="291" t="s">
        <v>1314</v>
      </c>
      <c r="B82" s="290">
        <f>SUM(B80:B81)</f>
        <v>3131820</v>
      </c>
      <c r="C82" s="290">
        <f>SUM(C80:C81)</f>
        <v>3131820</v>
      </c>
      <c r="D82" s="290">
        <f t="shared" si="1"/>
        <v>0</v>
      </c>
      <c r="E82" s="288"/>
      <c r="F82" s="287"/>
      <c r="G82" s="383"/>
    </row>
    <row r="83" spans="1:7" s="380" customFormat="1">
      <c r="A83" s="284" t="s">
        <v>773</v>
      </c>
      <c r="B83" s="284"/>
      <c r="C83" s="284"/>
      <c r="D83" s="284"/>
      <c r="E83" s="303"/>
      <c r="F83" s="284"/>
      <c r="G83" s="383"/>
    </row>
    <row r="84" spans="1:7" s="380" customFormat="1" ht="13.8" customHeight="1">
      <c r="A84" s="289" t="s">
        <v>774</v>
      </c>
      <c r="B84" s="286">
        <f>'Sources and Uses Budget'!$C83</f>
        <v>110263</v>
      </c>
      <c r="C84" s="286">
        <f>'Sources and Uses Budget'!$C83</f>
        <v>110263</v>
      </c>
      <c r="D84" s="290">
        <f t="shared" si="1"/>
        <v>0</v>
      </c>
      <c r="E84" s="288"/>
      <c r="F84" s="287"/>
      <c r="G84" s="383"/>
    </row>
    <row r="85" spans="1:7" s="380" customFormat="1">
      <c r="A85" s="289" t="s">
        <v>775</v>
      </c>
      <c r="B85" s="286">
        <f>'Sources and Uses Budget'!$C84</f>
        <v>50000</v>
      </c>
      <c r="C85" s="286">
        <f>'Sources and Uses Budget'!$C84</f>
        <v>50000</v>
      </c>
      <c r="D85" s="290">
        <f t="shared" si="1"/>
        <v>0</v>
      </c>
      <c r="E85" s="288"/>
      <c r="F85" s="287"/>
      <c r="G85" s="383"/>
    </row>
    <row r="86" spans="1:7" s="380" customFormat="1">
      <c r="A86" s="289" t="s">
        <v>776</v>
      </c>
      <c r="B86" s="286">
        <f>'Sources and Uses Budget'!$C85</f>
        <v>2239299</v>
      </c>
      <c r="C86" s="286">
        <f>'Sources and Uses Budget'!$C85</f>
        <v>2239299</v>
      </c>
      <c r="D86" s="290">
        <f t="shared" si="1"/>
        <v>0</v>
      </c>
      <c r="E86" s="288"/>
      <c r="F86" s="287"/>
      <c r="G86" s="383"/>
    </row>
    <row r="87" spans="1:7" s="380" customFormat="1">
      <c r="A87" s="289" t="s">
        <v>777</v>
      </c>
      <c r="B87" s="286">
        <f>'Sources and Uses Budget'!$C86</f>
        <v>1260701</v>
      </c>
      <c r="C87" s="286">
        <f>'Sources and Uses Budget'!$C86</f>
        <v>1260701</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139000</v>
      </c>
      <c r="C89" s="286">
        <f>'Sources and Uses Budget'!$C88</f>
        <v>139000</v>
      </c>
      <c r="D89" s="290">
        <f t="shared" si="1"/>
        <v>0</v>
      </c>
      <c r="E89" s="288"/>
      <c r="F89" s="287"/>
      <c r="G89" s="383"/>
    </row>
    <row r="90" spans="1:7" s="380" customFormat="1">
      <c r="A90" s="289" t="s">
        <v>780</v>
      </c>
      <c r="B90" s="286">
        <f>'Sources and Uses Budget'!$C89</f>
        <v>100000</v>
      </c>
      <c r="C90" s="286">
        <f>'Sources and Uses Budget'!$C89</f>
        <v>100000</v>
      </c>
      <c r="D90" s="290">
        <f t="shared" si="1"/>
        <v>0</v>
      </c>
      <c r="E90" s="288"/>
      <c r="F90" s="287"/>
      <c r="G90" s="383"/>
    </row>
    <row r="91" spans="1:7" s="380" customFormat="1">
      <c r="A91" s="289" t="s">
        <v>781</v>
      </c>
      <c r="B91" s="286">
        <f>'Sources and Uses Budget'!$C90</f>
        <v>15000</v>
      </c>
      <c r="C91" s="286">
        <f>'Sources and Uses Budget'!$C90</f>
        <v>15000</v>
      </c>
      <c r="D91" s="290">
        <f t="shared" si="1"/>
        <v>0</v>
      </c>
      <c r="E91" s="288"/>
      <c r="F91" s="287"/>
      <c r="G91" s="383"/>
    </row>
    <row r="92" spans="1:7" s="380" customFormat="1">
      <c r="A92" s="289" t="s">
        <v>373</v>
      </c>
      <c r="B92" s="286">
        <f>'Sources and Uses Budget'!$C91</f>
        <v>50000</v>
      </c>
      <c r="C92" s="286">
        <f>'Sources and Uses Budget'!$C91</f>
        <v>50000</v>
      </c>
      <c r="D92" s="290">
        <f t="shared" si="1"/>
        <v>0</v>
      </c>
      <c r="E92" s="288"/>
      <c r="F92" s="287"/>
      <c r="G92" s="383"/>
    </row>
    <row r="93" spans="1:7" s="380" customFormat="1">
      <c r="A93" s="544" t="s">
        <v>1316</v>
      </c>
      <c r="B93" s="286">
        <f>'Sources and Uses Budget'!$C92</f>
        <v>20000</v>
      </c>
      <c r="C93" s="286">
        <f>'Sources and Uses Budget'!$C92</f>
        <v>20000</v>
      </c>
      <c r="D93" s="290">
        <f t="shared" si="1"/>
        <v>0</v>
      </c>
      <c r="E93" s="288"/>
      <c r="F93" s="287"/>
      <c r="G93" s="383"/>
    </row>
    <row r="94" spans="1:7" s="380" customFormat="1">
      <c r="A94" s="292" t="s">
        <v>34</v>
      </c>
      <c r="B94" s="286">
        <f>'Sources and Uses Budget'!$C93</f>
        <v>492000</v>
      </c>
      <c r="C94" s="286">
        <f>'Sources and Uses Budget'!$C93</f>
        <v>492000</v>
      </c>
      <c r="D94" s="290">
        <f t="shared" si="1"/>
        <v>0</v>
      </c>
      <c r="E94" s="288"/>
      <c r="F94" s="287"/>
      <c r="G94" s="383"/>
    </row>
    <row r="95" spans="1:7" s="380" customFormat="1">
      <c r="A95" s="292" t="s">
        <v>34</v>
      </c>
      <c r="B95" s="286">
        <f>'Sources and Uses Budget'!$C94</f>
        <v>61180</v>
      </c>
      <c r="C95" s="286">
        <f>'Sources and Uses Budget'!$C94</f>
        <v>61180</v>
      </c>
      <c r="D95" s="290">
        <f t="shared" si="1"/>
        <v>0</v>
      </c>
      <c r="E95" s="288"/>
      <c r="F95" s="287"/>
      <c r="G95" s="383"/>
    </row>
    <row r="96" spans="1:7" s="380" customFormat="1">
      <c r="A96" s="292" t="s">
        <v>34</v>
      </c>
      <c r="B96" s="286">
        <f>'Sources and Uses Budget'!$C95</f>
        <v>14673</v>
      </c>
      <c r="C96" s="286">
        <f>'Sources and Uses Budget'!$C95</f>
        <v>14673</v>
      </c>
      <c r="D96" s="290">
        <f t="shared" si="1"/>
        <v>0</v>
      </c>
      <c r="E96" s="288"/>
      <c r="F96" s="287"/>
      <c r="G96" s="383"/>
    </row>
    <row r="97" spans="1:7" s="380" customFormat="1">
      <c r="A97" s="291" t="s">
        <v>782</v>
      </c>
      <c r="B97" s="290">
        <f>SUM(B84:B96)</f>
        <v>4552116</v>
      </c>
      <c r="C97" s="290">
        <f>SUM(C84:C96)</f>
        <v>4552116</v>
      </c>
      <c r="D97" s="290">
        <f t="shared" si="1"/>
        <v>0</v>
      </c>
      <c r="E97" s="288"/>
      <c r="F97" s="287"/>
      <c r="G97" s="383"/>
    </row>
    <row r="98" spans="1:7" s="380" customFormat="1">
      <c r="A98" s="291" t="s">
        <v>783</v>
      </c>
      <c r="B98" s="290">
        <f>SUM(B64+B71+B78+B82+B97)</f>
        <v>77381349.000000015</v>
      </c>
      <c r="C98" s="290">
        <f>SUM(C64+C71+C78+C82+C97)</f>
        <v>77381349.000000015</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9773372</v>
      </c>
      <c r="C100" s="286">
        <f>'Sources and Uses Budget'!$C99</f>
        <v>9773372</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9773372</v>
      </c>
      <c r="C105" s="290">
        <f>SUM(C100:C104)</f>
        <v>9773372</v>
      </c>
      <c r="D105" s="290">
        <f t="shared" si="1"/>
        <v>0</v>
      </c>
      <c r="E105" s="288"/>
      <c r="F105" s="287"/>
      <c r="G105" s="383"/>
    </row>
    <row r="106" spans="1:7" s="380" customFormat="1">
      <c r="A106" s="291" t="s">
        <v>788</v>
      </c>
      <c r="B106" s="293">
        <f>SUM(B98+B105)</f>
        <v>87154721.000000015</v>
      </c>
      <c r="C106" s="293">
        <f>SUM(C98+C105)</f>
        <v>87154721.000000015</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77734375" hidden="1"/>
  </cols>
  <sheetData>
    <row r="1" spans="1:9"/>
    <row r="2" spans="1:9">
      <c r="A2" s="1302" t="s">
        <v>1067</v>
      </c>
      <c r="B2" s="1302"/>
      <c r="C2" s="1276"/>
      <c r="D2" s="1276"/>
      <c r="E2" s="1276"/>
      <c r="F2" s="1276"/>
      <c r="G2" s="1276"/>
    </row>
    <row r="3" spans="1:9" s="173" customFormat="1">
      <c r="A3" s="1302" t="s">
        <v>1008</v>
      </c>
      <c r="B3" s="1302"/>
      <c r="C3" s="1276"/>
      <c r="D3" s="1276"/>
      <c r="E3" s="1276"/>
      <c r="F3" s="1276"/>
      <c r="G3" s="1276"/>
      <c r="I3" t="s">
        <v>308</v>
      </c>
    </row>
    <row r="4" spans="1:9">
      <c r="I4" s="3" t="s">
        <v>1068</v>
      </c>
    </row>
    <row r="5" spans="1:9">
      <c r="A5" s="1304" t="s">
        <v>1009</v>
      </c>
      <c r="B5" s="1304"/>
      <c r="C5" s="1276"/>
      <c r="D5" s="1276"/>
      <c r="E5" s="1276"/>
      <c r="F5" s="1276"/>
      <c r="G5" s="1276"/>
      <c r="I5" s="3" t="s">
        <v>1069</v>
      </c>
    </row>
    <row r="6" spans="1:9">
      <c r="A6" s="1304" t="s">
        <v>827</v>
      </c>
      <c r="B6" s="1304"/>
      <c r="C6" s="1276"/>
      <c r="D6" s="1276"/>
      <c r="E6" s="1276"/>
      <c r="F6" s="1276"/>
      <c r="G6" s="1276"/>
      <c r="I6" t="s">
        <v>599</v>
      </c>
    </row>
    <row r="7" spans="1:9" ht="11.7" customHeight="1"/>
    <row r="8" spans="1:9">
      <c r="A8" s="1302" t="s">
        <v>1164</v>
      </c>
      <c r="B8" s="1302"/>
      <c r="C8" s="1303"/>
      <c r="D8" s="1303"/>
      <c r="E8" s="1303"/>
      <c r="F8" s="1303"/>
      <c r="G8" s="1303"/>
    </row>
    <row r="9" spans="1:9">
      <c r="A9" s="1302" t="s">
        <v>1165</v>
      </c>
      <c r="B9" s="1302"/>
      <c r="C9" s="1303"/>
      <c r="D9" s="1303"/>
      <c r="E9" s="1303"/>
      <c r="F9" s="1303"/>
      <c r="G9" s="1303"/>
    </row>
    <row r="10" spans="1:9">
      <c r="A10" s="174"/>
      <c r="B10" s="174"/>
      <c r="C10" s="172"/>
      <c r="D10" s="172"/>
      <c r="E10" s="172"/>
      <c r="F10" s="172"/>
    </row>
    <row r="11" spans="1:9">
      <c r="A11" s="1283" t="s">
        <v>1167</v>
      </c>
      <c r="B11" s="1283"/>
      <c r="C11" s="1283"/>
      <c r="D11" s="1283"/>
      <c r="E11" s="1283"/>
      <c r="F11" s="1283"/>
      <c r="G11" s="1283"/>
    </row>
    <row r="12" spans="1:9">
      <c r="A12" s="172"/>
      <c r="B12" s="172"/>
      <c r="E12" s="2"/>
    </row>
    <row r="13" spans="1:9" ht="13.2" customHeight="1">
      <c r="C13" s="172"/>
      <c r="D13" s="1316" t="s">
        <v>1166</v>
      </c>
      <c r="E13" s="1316"/>
      <c r="F13" s="1316"/>
    </row>
    <row r="14" spans="1:9">
      <c r="C14" s="172"/>
      <c r="D14" s="1316"/>
      <c r="E14" s="1316"/>
      <c r="F14" s="1316"/>
    </row>
    <row r="15" spans="1:9">
      <c r="A15" s="175"/>
      <c r="B15" s="175"/>
      <c r="C15" s="175"/>
      <c r="D15" s="1279" t="s">
        <v>1149</v>
      </c>
      <c r="E15" s="1279"/>
      <c r="F15" s="1279"/>
    </row>
    <row r="16" spans="1:9">
      <c r="A16" s="175"/>
      <c r="B16" s="175"/>
      <c r="C16" s="175"/>
      <c r="D16" s="218"/>
    </row>
    <row r="17" spans="1:6" ht="14.4">
      <c r="A17" s="176"/>
      <c r="B17" s="468" t="s">
        <v>308</v>
      </c>
      <c r="C17" s="175"/>
      <c r="D17" s="1268" t="s">
        <v>1150</v>
      </c>
      <c r="E17" s="1268"/>
      <c r="F17" s="1268"/>
    </row>
    <row r="18" spans="1:6">
      <c r="A18" s="175"/>
      <c r="B18" s="175"/>
      <c r="C18" s="175"/>
      <c r="D18" s="1268"/>
      <c r="E18" s="1268"/>
      <c r="F18" s="1268"/>
    </row>
    <row r="19" spans="1:6">
      <c r="A19" s="175"/>
      <c r="B19" s="175"/>
      <c r="C19" s="175"/>
      <c r="D19" s="1268"/>
      <c r="E19" s="1268"/>
      <c r="F19" s="1268"/>
    </row>
    <row r="20" spans="1:6">
      <c r="A20" s="175"/>
      <c r="B20" s="175"/>
      <c r="C20" s="175"/>
    </row>
    <row r="21" spans="1:6" ht="14.4">
      <c r="A21" s="176"/>
      <c r="B21" s="468" t="s">
        <v>308</v>
      </c>
      <c r="D21" s="1311" t="s">
        <v>1151</v>
      </c>
      <c r="E21" s="1311"/>
      <c r="F21" s="1311"/>
    </row>
    <row r="22" spans="1:6" ht="14.4">
      <c r="A22" s="176"/>
      <c r="B22" s="176"/>
      <c r="D22" s="35"/>
    </row>
    <row r="23" spans="1:6" ht="14.4">
      <c r="A23" s="176"/>
      <c r="B23" s="468" t="s">
        <v>308</v>
      </c>
      <c r="D23" s="1268" t="s">
        <v>1152</v>
      </c>
      <c r="E23" s="1268"/>
      <c r="F23" s="1268"/>
    </row>
    <row r="24" spans="1:6" ht="14.4">
      <c r="A24" s="176"/>
      <c r="B24" s="176"/>
      <c r="D24" s="1268"/>
      <c r="E24" s="1268"/>
      <c r="F24" s="1268"/>
    </row>
    <row r="25" spans="1:6"/>
    <row r="26" spans="1:6" ht="14.4">
      <c r="A26" s="176"/>
      <c r="B26" s="468" t="s">
        <v>308</v>
      </c>
      <c r="D26" s="1268" t="s">
        <v>1153</v>
      </c>
      <c r="E26" s="1268"/>
      <c r="F26" s="1268"/>
    </row>
    <row r="27" spans="1:6">
      <c r="D27" s="1268"/>
      <c r="E27" s="1268"/>
      <c r="F27" s="1268"/>
    </row>
    <row r="28" spans="1:6">
      <c r="D28" s="1268"/>
      <c r="E28" s="1268"/>
      <c r="F28" s="1268"/>
    </row>
    <row r="29" spans="1:6">
      <c r="D29" s="1268"/>
      <c r="E29" s="1268"/>
      <c r="F29" s="1268"/>
    </row>
    <row r="30" spans="1:6">
      <c r="D30" s="1268"/>
      <c r="E30" s="1268"/>
      <c r="F30" s="1268"/>
    </row>
    <row r="31" spans="1:6">
      <c r="D31" s="220"/>
    </row>
    <row r="32" spans="1:6">
      <c r="B32" s="468" t="s">
        <v>308</v>
      </c>
      <c r="D32" s="1268" t="s">
        <v>1154</v>
      </c>
      <c r="E32" s="1268"/>
      <c r="F32" s="1268"/>
    </row>
    <row r="33" spans="1:6">
      <c r="D33" s="1268"/>
      <c r="E33" s="1268"/>
      <c r="F33" s="1268"/>
    </row>
    <row r="34" spans="1:6" ht="14.4">
      <c r="A34" s="176"/>
      <c r="B34" s="176"/>
      <c r="D34" s="220"/>
    </row>
    <row r="35" spans="1:6" ht="14.55" customHeight="1">
      <c r="A35" s="176"/>
      <c r="B35" s="468" t="s">
        <v>308</v>
      </c>
      <c r="D35" s="1268" t="s">
        <v>1155</v>
      </c>
      <c r="E35" s="1268"/>
      <c r="F35" s="1268"/>
    </row>
    <row r="36" spans="1:6" ht="14.4">
      <c r="A36" s="176"/>
      <c r="B36" s="176"/>
      <c r="D36" s="1268"/>
      <c r="E36" s="1268"/>
      <c r="F36" s="1268"/>
    </row>
    <row r="37" spans="1:6" ht="14.4">
      <c r="A37" s="176"/>
      <c r="B37" s="176"/>
      <c r="D37" s="1268"/>
      <c r="E37" s="1268"/>
      <c r="F37" s="1268"/>
    </row>
    <row r="38" spans="1:6" ht="14.4">
      <c r="A38" s="176"/>
      <c r="B38" s="176"/>
      <c r="D38"/>
    </row>
    <row r="39" spans="1:6" ht="14.4">
      <c r="A39" s="176"/>
      <c r="B39" s="468" t="s">
        <v>308</v>
      </c>
      <c r="D39" s="1268" t="s">
        <v>1156</v>
      </c>
      <c r="E39" s="1268"/>
      <c r="F39" s="1268"/>
    </row>
    <row r="40" spans="1:6" ht="14.4">
      <c r="A40" s="176"/>
      <c r="B40" s="176"/>
      <c r="D40" s="1268"/>
      <c r="E40" s="1268"/>
      <c r="F40" s="1268"/>
    </row>
    <row r="41" spans="1:6" ht="14.4">
      <c r="A41" s="176"/>
      <c r="B41" s="176"/>
      <c r="D41" s="1268"/>
      <c r="E41" s="1268"/>
      <c r="F41" s="1268"/>
    </row>
    <row r="42" spans="1:6" ht="14.4">
      <c r="A42" s="176"/>
      <c r="B42" s="176"/>
      <c r="D42" s="1268"/>
      <c r="E42" s="1268"/>
      <c r="F42" s="1268"/>
    </row>
    <row r="43" spans="1:6" ht="14.4">
      <c r="A43" s="176"/>
      <c r="B43" s="176"/>
      <c r="D43" s="1268"/>
      <c r="E43" s="1268"/>
      <c r="F43" s="1268"/>
    </row>
    <row r="44" spans="1:6" ht="14.4">
      <c r="A44" s="176"/>
      <c r="B44" s="176"/>
      <c r="D44" s="474"/>
      <c r="E44" s="474"/>
      <c r="F44" s="474"/>
    </row>
    <row r="45" spans="1:6" ht="14.4">
      <c r="A45" s="176"/>
      <c r="B45" s="468" t="s">
        <v>308</v>
      </c>
      <c r="D45" s="1268" t="s">
        <v>1157</v>
      </c>
      <c r="E45" s="1268"/>
      <c r="F45" s="1268"/>
    </row>
    <row r="46" spans="1:6" ht="14.4">
      <c r="A46" s="176"/>
      <c r="B46" s="176"/>
      <c r="D46" s="1268"/>
      <c r="E46" s="1268"/>
      <c r="F46" s="1268"/>
    </row>
    <row r="47" spans="1:6" ht="14.4">
      <c r="A47" s="176"/>
      <c r="B47" s="176"/>
      <c r="D47" s="1268"/>
      <c r="E47" s="1268"/>
      <c r="F47" s="1268"/>
    </row>
    <row r="48" spans="1:6" ht="23.25" customHeight="1">
      <c r="A48" s="176"/>
      <c r="B48" s="176"/>
      <c r="D48" s="1268"/>
      <c r="E48" s="1268"/>
      <c r="F48" s="1268"/>
    </row>
    <row r="49" spans="1:7" ht="14.4">
      <c r="A49" s="176"/>
      <c r="B49" s="176"/>
      <c r="D49" s="35"/>
    </row>
    <row r="50" spans="1:7" ht="14.55" customHeight="1">
      <c r="A50" s="176"/>
      <c r="B50" s="468" t="s">
        <v>308</v>
      </c>
      <c r="D50" s="1268" t="s">
        <v>1158</v>
      </c>
      <c r="E50" s="1268"/>
      <c r="F50" s="1268"/>
    </row>
    <row r="51" spans="1:7" ht="14.4">
      <c r="A51" s="176"/>
      <c r="B51" s="176"/>
      <c r="D51" s="1268"/>
      <c r="E51" s="1268"/>
      <c r="F51" s="1268"/>
    </row>
    <row r="52" spans="1:7" ht="14.4">
      <c r="A52" s="176"/>
      <c r="B52" s="176"/>
      <c r="D52" s="1268"/>
      <c r="E52" s="1268"/>
      <c r="F52" s="1268"/>
    </row>
    <row r="53" spans="1:7" ht="14.4">
      <c r="A53" s="176"/>
      <c r="B53" s="176"/>
      <c r="C53" s="385"/>
      <c r="D53" s="3"/>
      <c r="E53" s="3"/>
      <c r="F53" s="3"/>
      <c r="G53" s="3"/>
    </row>
    <row r="54" spans="1:7" ht="14.4">
      <c r="A54" s="176"/>
      <c r="B54" s="468" t="s">
        <v>308</v>
      </c>
      <c r="C54" s="385"/>
      <c r="D54" s="1268" t="s">
        <v>1159</v>
      </c>
      <c r="E54" s="1268"/>
      <c r="F54" s="1268"/>
      <c r="G54" s="3"/>
    </row>
    <row r="55" spans="1:7" ht="14.4">
      <c r="A55" s="176"/>
      <c r="B55" s="176"/>
      <c r="C55" s="385"/>
      <c r="D55" s="1268"/>
      <c r="E55" s="1268"/>
      <c r="F55" s="1268"/>
      <c r="G55" s="3"/>
    </row>
    <row r="56" spans="1:7">
      <c r="D56" s="220"/>
    </row>
    <row r="57" spans="1:7" ht="14.4">
      <c r="A57" s="176"/>
      <c r="B57" s="468" t="s">
        <v>308</v>
      </c>
      <c r="D57" s="1268" t="s">
        <v>1160</v>
      </c>
      <c r="E57" s="1268"/>
      <c r="F57" s="1268"/>
    </row>
    <row r="58" spans="1:7">
      <c r="D58" s="1268"/>
      <c r="E58" s="1268"/>
      <c r="F58" s="1268"/>
    </row>
    <row r="59" spans="1:7">
      <c r="D59" s="1268"/>
      <c r="E59" s="1268"/>
      <c r="F59" s="1268"/>
    </row>
    <row r="60" spans="1:7">
      <c r="D60" s="3"/>
    </row>
    <row r="61" spans="1:7" ht="14.4">
      <c r="A61" s="176"/>
      <c r="B61" s="468" t="s">
        <v>308</v>
      </c>
      <c r="D61" s="1268" t="s">
        <v>1161</v>
      </c>
      <c r="E61" s="1268"/>
      <c r="F61" s="1268"/>
    </row>
    <row r="62" spans="1:7">
      <c r="D62" s="1268"/>
      <c r="E62" s="1268"/>
      <c r="F62" s="1268"/>
    </row>
    <row r="63" spans="1:7"/>
    <row r="64" spans="1:7" ht="14.4">
      <c r="A64" s="176"/>
      <c r="B64" s="468" t="s">
        <v>308</v>
      </c>
      <c r="D64" s="1268" t="s">
        <v>1162</v>
      </c>
      <c r="E64" s="1268"/>
      <c r="F64" s="1268"/>
    </row>
    <row r="65" spans="1:7">
      <c r="D65" s="1268"/>
      <c r="E65" s="1268"/>
      <c r="F65" s="1268"/>
    </row>
    <row r="66" spans="1:7">
      <c r="D66" s="1268"/>
      <c r="E66" s="1268"/>
      <c r="F66" s="1268"/>
    </row>
    <row r="67" spans="1:7">
      <c r="D67"/>
    </row>
    <row r="68" spans="1:7" ht="14.4">
      <c r="A68" s="176"/>
      <c r="B68" s="468" t="s">
        <v>308</v>
      </c>
      <c r="D68" s="1268" t="s">
        <v>1163</v>
      </c>
      <c r="E68" s="1268"/>
      <c r="F68" s="1268"/>
    </row>
    <row r="69" spans="1:7">
      <c r="D69" s="1268"/>
      <c r="E69" s="1268"/>
      <c r="F69" s="1268"/>
    </row>
    <row r="70" spans="1:7" ht="14.4">
      <c r="A70" s="176"/>
      <c r="B70" s="176"/>
      <c r="D70" s="35"/>
    </row>
    <row r="71" spans="1:7">
      <c r="A71" s="1283" t="s">
        <v>1070</v>
      </c>
      <c r="B71" s="1283"/>
      <c r="C71" s="1283"/>
      <c r="D71" s="1283"/>
      <c r="E71" s="1283"/>
      <c r="F71" s="1283"/>
      <c r="G71" s="1283"/>
    </row>
    <row r="72" spans="1:7"/>
    <row r="73" spans="1:7">
      <c r="C73" s="177"/>
      <c r="D73" s="1301" t="s">
        <v>1168</v>
      </c>
      <c r="E73" s="1301"/>
      <c r="F73" s="1301"/>
    </row>
    <row r="74" spans="1:7">
      <c r="A74" s="35"/>
      <c r="B74" s="35"/>
      <c r="D74" s="1268" t="s">
        <v>1195</v>
      </c>
      <c r="E74" s="1268"/>
      <c r="F74" s="1268"/>
    </row>
    <row r="75" spans="1:7">
      <c r="A75" s="35"/>
      <c r="B75" s="35"/>
    </row>
    <row r="76" spans="1:7" ht="14.4">
      <c r="A76" s="176"/>
      <c r="B76" s="468" t="s">
        <v>308</v>
      </c>
      <c r="D76" s="1268" t="s">
        <v>1169</v>
      </c>
      <c r="E76" s="1268"/>
      <c r="F76" s="1268"/>
    </row>
    <row r="77" spans="1:7" ht="14.4">
      <c r="A77" s="176"/>
      <c r="B77" s="176"/>
      <c r="D77" s="1268"/>
      <c r="E77" s="1268"/>
      <c r="F77" s="1268"/>
    </row>
    <row r="78" spans="1:7" ht="14.4">
      <c r="A78" s="176"/>
      <c r="B78" s="176"/>
      <c r="D78" s="1268"/>
      <c r="E78" s="1268"/>
      <c r="F78" s="1268"/>
    </row>
    <row r="79" spans="1:7" ht="14.4">
      <c r="A79" s="176"/>
      <c r="B79" s="176"/>
      <c r="D79" s="1268"/>
      <c r="E79" s="1268"/>
      <c r="F79" s="1268"/>
    </row>
    <row r="80" spans="1:7" ht="14.4">
      <c r="A80" s="176"/>
      <c r="B80" s="176"/>
      <c r="D80" s="1268"/>
      <c r="E80" s="1268"/>
      <c r="F80" s="1268"/>
    </row>
    <row r="81" spans="1:6" ht="14.4">
      <c r="A81" s="176"/>
      <c r="B81" s="176"/>
      <c r="D81" s="1268"/>
      <c r="E81" s="1268"/>
      <c r="F81" s="1268"/>
    </row>
    <row r="82" spans="1:6" ht="14.4">
      <c r="A82" s="176"/>
      <c r="B82" s="176"/>
      <c r="D82" s="474"/>
      <c r="E82" s="474"/>
      <c r="F82" s="474"/>
    </row>
    <row r="83" spans="1:6" ht="14.55" customHeight="1">
      <c r="A83" s="176"/>
      <c r="B83" s="468" t="s">
        <v>308</v>
      </c>
      <c r="D83" s="1277" t="s">
        <v>1268</v>
      </c>
      <c r="E83" s="1277"/>
      <c r="F83" s="1277"/>
    </row>
    <row r="84" spans="1:6" ht="14.4">
      <c r="A84" s="176"/>
      <c r="B84" s="176"/>
      <c r="D84" s="1277"/>
      <c r="E84" s="1277"/>
      <c r="F84" s="1277"/>
    </row>
    <row r="85" spans="1:6" ht="14.4">
      <c r="A85" s="176"/>
      <c r="B85" s="176"/>
      <c r="D85" s="1277"/>
      <c r="E85" s="1277"/>
      <c r="F85" s="1277"/>
    </row>
    <row r="86" spans="1:6" ht="14.4">
      <c r="A86" s="176"/>
      <c r="B86" s="176"/>
      <c r="D86" s="1277"/>
      <c r="E86" s="1277"/>
      <c r="F86" s="1277"/>
    </row>
    <row r="87" spans="1:6" ht="14.4">
      <c r="A87" s="176"/>
      <c r="B87" s="176"/>
      <c r="D87" s="1277"/>
      <c r="E87" s="1277"/>
      <c r="F87" s="1277"/>
    </row>
    <row r="88" spans="1:6" ht="14.4">
      <c r="A88" s="176"/>
      <c r="B88" s="176"/>
      <c r="D88" s="1277"/>
      <c r="E88" s="1277"/>
      <c r="F88" s="1277"/>
    </row>
    <row r="89" spans="1:6" ht="14.4">
      <c r="A89" s="176"/>
      <c r="B89" s="176"/>
      <c r="D89" s="1277"/>
      <c r="E89" s="1277"/>
      <c r="F89" s="1277"/>
    </row>
    <row r="90" spans="1:6" ht="14.4">
      <c r="A90" s="176"/>
      <c r="B90" s="176"/>
      <c r="D90" s="1277"/>
      <c r="E90" s="1277"/>
      <c r="F90" s="1277"/>
    </row>
    <row r="91" spans="1:6" ht="14.4">
      <c r="A91" s="176"/>
      <c r="B91" s="176"/>
      <c r="D91" s="1277"/>
      <c r="E91" s="1277"/>
      <c r="F91" s="1277"/>
    </row>
    <row r="92" spans="1:6" ht="14.4">
      <c r="A92" s="176"/>
      <c r="B92" s="176"/>
      <c r="D92" s="1277"/>
      <c r="E92" s="1277"/>
      <c r="F92" s="1277"/>
    </row>
    <row r="93" spans="1:6" ht="14.4">
      <c r="A93" s="176"/>
      <c r="B93" s="176"/>
      <c r="D93" s="1277"/>
      <c r="E93" s="1277"/>
      <c r="F93" s="1277"/>
    </row>
    <row r="94" spans="1:6" ht="14.4">
      <c r="A94" s="176"/>
      <c r="B94" s="176"/>
      <c r="D94" s="1277"/>
      <c r="E94" s="1277"/>
      <c r="F94" s="1277"/>
    </row>
    <row r="95" spans="1:6" ht="14.4">
      <c r="A95" s="176"/>
      <c r="B95" s="176"/>
      <c r="D95" s="1277"/>
      <c r="E95" s="1277"/>
      <c r="F95" s="1277"/>
    </row>
    <row r="96" spans="1:6" ht="14.4">
      <c r="A96" s="176"/>
      <c r="B96" s="176"/>
      <c r="D96" s="1277"/>
      <c r="E96" s="1277"/>
      <c r="F96" s="1277"/>
    </row>
    <row r="97" spans="1:11" ht="14.4">
      <c r="A97" s="176"/>
      <c r="B97" s="468" t="s">
        <v>308</v>
      </c>
      <c r="D97" s="1268" t="s">
        <v>1170</v>
      </c>
      <c r="E97" s="1268"/>
      <c r="F97" s="1268"/>
    </row>
    <row r="98" spans="1:11" ht="14.4">
      <c r="A98" s="176"/>
      <c r="B98" s="176"/>
      <c r="D98" s="1268"/>
      <c r="E98" s="1268"/>
      <c r="F98" s="1268"/>
    </row>
    <row r="99" spans="1:11" ht="14.4">
      <c r="A99" s="176"/>
      <c r="B99" s="176"/>
      <c r="D99" s="1268"/>
      <c r="E99" s="1268"/>
      <c r="F99" s="1268"/>
    </row>
    <row r="100" spans="1:11" ht="14.4">
      <c r="A100" s="176"/>
      <c r="B100" s="176"/>
      <c r="D100" s="1268"/>
      <c r="E100" s="1268"/>
      <c r="F100" s="1268"/>
    </row>
    <row r="101" spans="1:11" ht="14.4">
      <c r="A101" s="176"/>
      <c r="B101" s="176"/>
      <c r="D101" s="1268"/>
      <c r="E101" s="1268"/>
      <c r="F101" s="1268"/>
    </row>
    <row r="102" spans="1:11" ht="14.4">
      <c r="A102" s="176"/>
      <c r="B102" s="176"/>
      <c r="D102" s="1268"/>
      <c r="E102" s="1268"/>
      <c r="F102" s="1268"/>
    </row>
    <row r="103" spans="1:11" ht="14.4">
      <c r="A103" s="176"/>
      <c r="B103" s="176"/>
      <c r="D103" s="1268"/>
      <c r="E103" s="1268"/>
      <c r="F103" s="1268"/>
    </row>
    <row r="104" spans="1:11" ht="14.4">
      <c r="A104" s="176"/>
      <c r="B104" s="176"/>
      <c r="D104" s="1268"/>
      <c r="E104" s="1268"/>
      <c r="F104" s="1268"/>
    </row>
    <row r="105" spans="1:11" ht="14.4">
      <c r="A105" s="176"/>
      <c r="B105" s="176"/>
      <c r="D105" s="474"/>
      <c r="E105" s="474"/>
      <c r="F105" s="474"/>
    </row>
    <row r="106" spans="1:11" ht="14.4">
      <c r="A106" s="176"/>
      <c r="B106" s="468" t="s">
        <v>308</v>
      </c>
      <c r="C106" s="179"/>
      <c r="D106" s="1305" t="s">
        <v>1171</v>
      </c>
      <c r="E106" s="1305"/>
      <c r="F106" s="1305"/>
      <c r="G106" s="183"/>
      <c r="H106" s="181"/>
      <c r="I106" s="181"/>
      <c r="J106" s="181"/>
      <c r="K106" s="181"/>
    </row>
    <row r="107" spans="1:11" ht="14.4">
      <c r="A107" s="176"/>
      <c r="B107" s="176"/>
      <c r="C107" s="179"/>
      <c r="D107" s="1305"/>
      <c r="E107" s="1305"/>
      <c r="F107" s="1305"/>
      <c r="G107" s="183"/>
      <c r="H107" s="181"/>
      <c r="I107" s="181"/>
      <c r="J107" s="181"/>
      <c r="K107" s="181"/>
    </row>
    <row r="108" spans="1:11" ht="14.4">
      <c r="A108" s="176"/>
      <c r="B108" s="176"/>
      <c r="C108" s="179"/>
      <c r="D108" s="1305"/>
      <c r="E108" s="1305"/>
      <c r="F108" s="1305"/>
      <c r="G108" s="183"/>
      <c r="H108" s="181"/>
      <c r="I108" s="181"/>
      <c r="J108" s="181"/>
      <c r="K108" s="181"/>
    </row>
    <row r="109" spans="1:11" ht="14.4">
      <c r="A109" s="176"/>
      <c r="B109" s="176"/>
      <c r="C109" s="179"/>
      <c r="D109" s="1305"/>
      <c r="E109" s="1305"/>
      <c r="F109" s="1305"/>
      <c r="G109" s="183"/>
      <c r="H109" s="181"/>
      <c r="I109" s="181"/>
      <c r="J109" s="181"/>
      <c r="K109" s="181"/>
    </row>
    <row r="110" spans="1:11" ht="14.4">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4">
      <c r="A114" s="176"/>
      <c r="B114" s="468" t="s">
        <v>308</v>
      </c>
      <c r="C114"/>
      <c r="D114" s="1306" t="s">
        <v>1172</v>
      </c>
      <c r="E114" s="1306"/>
      <c r="F114" s="1306"/>
      <c r="G114"/>
    </row>
    <row r="115" spans="1:7" ht="14.4">
      <c r="A115" s="176"/>
      <c r="B115" s="176"/>
      <c r="C115"/>
      <c r="D115" s="1306"/>
      <c r="E115" s="1306"/>
      <c r="F115" s="1306"/>
      <c r="G115"/>
    </row>
    <row r="116" spans="1:7"/>
    <row r="117" spans="1:7" ht="14.4">
      <c r="A117" s="176"/>
      <c r="B117" s="468" t="s">
        <v>308</v>
      </c>
      <c r="D117" s="1268" t="s">
        <v>1173</v>
      </c>
      <c r="E117" s="1268"/>
      <c r="F117" s="1268"/>
    </row>
    <row r="118" spans="1:7">
      <c r="D118" s="1268"/>
      <c r="E118" s="1268"/>
      <c r="F118" s="1268"/>
    </row>
    <row r="119" spans="1:7">
      <c r="D119" s="1268"/>
      <c r="E119" s="1268"/>
      <c r="F119" s="1268"/>
    </row>
    <row r="120" spans="1:7">
      <c r="D120" s="1268"/>
      <c r="E120" s="1268"/>
      <c r="F120" s="1268"/>
    </row>
    <row r="121" spans="1:7">
      <c r="D121" s="1268"/>
      <c r="E121" s="1268"/>
      <c r="F121" s="1268"/>
    </row>
    <row r="122" spans="1:7"/>
    <row r="123" spans="1:7" ht="14.4">
      <c r="A123" s="176"/>
      <c r="B123" s="468" t="s">
        <v>308</v>
      </c>
      <c r="D123" s="1268" t="s">
        <v>1174</v>
      </c>
      <c r="E123" s="1268"/>
      <c r="F123" s="1268"/>
    </row>
    <row r="124" spans="1:7" s="197" customFormat="1" ht="13.8" customHeight="1">
      <c r="A124" s="195"/>
      <c r="B124" s="195"/>
      <c r="C124" s="195"/>
      <c r="D124" s="1268"/>
      <c r="E124" s="1268"/>
      <c r="F124" s="1268"/>
      <c r="G124" s="196"/>
    </row>
    <row r="125" spans="1:7" ht="13.8" customHeight="1">
      <c r="D125" s="1268"/>
      <c r="E125" s="1268"/>
      <c r="F125" s="1268"/>
    </row>
    <row r="126" spans="1:7" ht="13.8" customHeight="1">
      <c r="D126" s="1268"/>
      <c r="E126" s="1268"/>
      <c r="F126" s="1268"/>
    </row>
    <row r="127" spans="1:7" ht="13.8" customHeight="1">
      <c r="D127" s="1268"/>
      <c r="E127" s="1268"/>
      <c r="F127" s="1268"/>
    </row>
    <row r="128" spans="1:7" ht="13.8" customHeight="1">
      <c r="A128" s="256"/>
      <c r="B128" s="256"/>
      <c r="D128" s="1268"/>
      <c r="E128" s="1268"/>
      <c r="F128" s="1268"/>
    </row>
    <row r="129" spans="2:6" ht="13.8" customHeight="1">
      <c r="D129" s="1268"/>
      <c r="E129" s="1268"/>
      <c r="F129" s="1268"/>
    </row>
    <row r="130" spans="2:6" ht="13.8" customHeight="1">
      <c r="D130" s="1268"/>
      <c r="E130" s="1268"/>
      <c r="F130" s="1268"/>
    </row>
    <row r="131" spans="2:6" ht="13.8" customHeight="1">
      <c r="D131" s="1268"/>
      <c r="E131" s="1268"/>
      <c r="F131" s="1268"/>
    </row>
    <row r="132" spans="2:6" ht="13.8" customHeight="1">
      <c r="D132" s="1268"/>
      <c r="E132" s="1268"/>
      <c r="F132" s="1268"/>
    </row>
    <row r="133" spans="2:6" ht="13.8" customHeight="1">
      <c r="D133" s="1268"/>
      <c r="E133" s="1268"/>
      <c r="F133" s="1268"/>
    </row>
    <row r="134" spans="2:6" ht="13.8" customHeight="1">
      <c r="D134" s="1268"/>
      <c r="E134" s="1268"/>
      <c r="F134" s="1268"/>
    </row>
    <row r="135" spans="2:6" ht="13.8" customHeight="1">
      <c r="D135" s="218"/>
      <c r="E135" s="35"/>
      <c r="F135" s="35"/>
    </row>
    <row r="136" spans="2:6" ht="13.8" customHeight="1">
      <c r="B136" s="468" t="s">
        <v>308</v>
      </c>
      <c r="D136" s="1268" t="s">
        <v>1282</v>
      </c>
      <c r="E136" s="1268"/>
      <c r="F136" s="1268"/>
    </row>
    <row r="137" spans="2:6" ht="13.8" customHeight="1">
      <c r="D137" s="1268"/>
      <c r="E137" s="1268"/>
      <c r="F137" s="1268"/>
    </row>
    <row r="138" spans="2:6" ht="13.8" customHeight="1">
      <c r="D138" s="1268"/>
      <c r="E138" s="1268"/>
      <c r="F138" s="1268"/>
    </row>
    <row r="139" spans="2:6" ht="13.8" customHeight="1">
      <c r="D139" s="1268"/>
      <c r="E139" s="1268"/>
      <c r="F139" s="1268"/>
    </row>
    <row r="140" spans="2:6" ht="13.8" customHeight="1">
      <c r="D140" s="1268"/>
      <c r="E140" s="1268"/>
      <c r="F140" s="1268"/>
    </row>
    <row r="141" spans="2:6" ht="13.8" customHeight="1">
      <c r="D141" s="1268"/>
      <c r="E141" s="1268"/>
      <c r="F141" s="1268"/>
    </row>
    <row r="142" spans="2:6" ht="13.8" customHeight="1">
      <c r="D142" s="1268"/>
      <c r="E142" s="1268"/>
      <c r="F142" s="1268"/>
    </row>
    <row r="143" spans="2:6" ht="13.8" customHeight="1">
      <c r="D143" s="1268"/>
      <c r="E143" s="1268"/>
      <c r="F143" s="1268"/>
    </row>
    <row r="144" spans="2:6" ht="13.8" customHeight="1">
      <c r="D144" s="1268"/>
      <c r="E144" s="1268"/>
      <c r="F144" s="1268"/>
    </row>
    <row r="145" spans="1:7" ht="13.8" customHeight="1">
      <c r="D145" s="1268"/>
      <c r="E145" s="1268"/>
      <c r="F145" s="1268"/>
    </row>
    <row r="146" spans="1:7" ht="13.8" customHeight="1">
      <c r="D146" s="1268"/>
      <c r="E146" s="1268"/>
      <c r="F146" s="1268"/>
    </row>
    <row r="147" spans="1:7" ht="13.8" customHeight="1">
      <c r="D147" s="1268"/>
      <c r="E147" s="1268"/>
      <c r="F147" s="1268"/>
    </row>
    <row r="148" spans="1:7" ht="13.8" customHeight="1">
      <c r="D148" s="1268"/>
      <c r="E148" s="1268"/>
      <c r="F148" s="1268"/>
    </row>
    <row r="149" spans="1:7" ht="13.8" customHeight="1">
      <c r="D149" s="1268"/>
      <c r="E149" s="1268"/>
      <c r="F149" s="1268"/>
    </row>
    <row r="150" spans="1:7" ht="13.8" customHeight="1">
      <c r="D150" s="1268"/>
      <c r="E150" s="1268"/>
      <c r="F150" s="1268"/>
    </row>
    <row r="151" spans="1:7" ht="13.8" customHeight="1">
      <c r="D151" s="1268"/>
      <c r="E151" s="1268"/>
      <c r="F151" s="1268"/>
    </row>
    <row r="152" spans="1:7" ht="13.8" customHeight="1">
      <c r="D152" s="1268"/>
      <c r="E152" s="1268"/>
      <c r="F152" s="1268"/>
    </row>
    <row r="153" spans="1:7" ht="13.8" customHeight="1">
      <c r="D153" s="1268"/>
      <c r="E153" s="1268"/>
      <c r="F153" s="1268"/>
    </row>
    <row r="154" spans="1:7" ht="13.8" customHeight="1">
      <c r="D154" s="1268"/>
      <c r="E154" s="1268"/>
      <c r="F154" s="1268"/>
    </row>
    <row r="155" spans="1:7" ht="13.8" customHeight="1">
      <c r="D155" s="218"/>
      <c r="E155" s="35"/>
      <c r="F155" s="35"/>
    </row>
    <row r="156" spans="1:7" ht="13.8" customHeight="1">
      <c r="A156" s="256"/>
      <c r="B156" s="468" t="s">
        <v>308</v>
      </c>
      <c r="C156" s="218"/>
      <c r="D156" s="1277" t="s">
        <v>1175</v>
      </c>
      <c r="E156" s="1277"/>
      <c r="F156" s="1277"/>
      <c r="G156" s="218"/>
    </row>
    <row r="157" spans="1:7" ht="13.8" customHeight="1">
      <c r="A157" s="256"/>
      <c r="B157" s="256"/>
      <c r="C157" s="218"/>
      <c r="D157" s="1277"/>
      <c r="E157" s="1277"/>
      <c r="F157" s="1277"/>
      <c r="G157" s="218"/>
    </row>
    <row r="158" spans="1:7" ht="13.8" customHeight="1">
      <c r="A158" s="256"/>
      <c r="B158" s="256"/>
      <c r="C158" s="218"/>
      <c r="D158" s="218"/>
      <c r="E158" s="218"/>
      <c r="F158" s="218"/>
      <c r="G158" s="218"/>
    </row>
    <row r="159" spans="1:7" ht="13.8" customHeight="1">
      <c r="A159" s="256"/>
      <c r="B159" s="468" t="s">
        <v>308</v>
      </c>
      <c r="C159" s="218"/>
      <c r="D159" s="1277" t="s">
        <v>1176</v>
      </c>
      <c r="E159" s="1277"/>
      <c r="F159" s="1277"/>
      <c r="G159" s="218"/>
    </row>
    <row r="160" spans="1:7" ht="13.8" customHeight="1">
      <c r="A160" s="256"/>
      <c r="B160" s="256"/>
      <c r="C160" s="218"/>
      <c r="D160" s="1277"/>
      <c r="E160" s="1277"/>
      <c r="F160" s="1277"/>
      <c r="G160" s="218"/>
    </row>
    <row r="161" spans="1:7" ht="13.8" customHeight="1">
      <c r="A161" s="256"/>
      <c r="B161" s="256"/>
      <c r="C161" s="218"/>
      <c r="D161" s="1277"/>
      <c r="E161" s="1277"/>
      <c r="F161" s="1277"/>
      <c r="G161" s="218"/>
    </row>
    <row r="162" spans="1:7" ht="13.8" customHeight="1">
      <c r="A162" s="256"/>
      <c r="B162" s="256"/>
      <c r="C162" s="218"/>
      <c r="D162" s="1277"/>
      <c r="E162" s="1277"/>
      <c r="F162" s="1277"/>
      <c r="G162" s="218"/>
    </row>
    <row r="163" spans="1:7" ht="13.8" customHeight="1">
      <c r="D163" s="35"/>
      <c r="E163" s="35"/>
      <c r="F163" s="35"/>
    </row>
    <row r="164" spans="1:7" ht="13.8" customHeight="1">
      <c r="B164" s="468" t="s">
        <v>308</v>
      </c>
      <c r="D164" s="1282" t="s">
        <v>1177</v>
      </c>
      <c r="E164" s="1282"/>
      <c r="F164" s="1282"/>
    </row>
    <row r="165" spans="1:7" ht="13.8" customHeight="1">
      <c r="D165" s="1282"/>
      <c r="E165" s="1282"/>
      <c r="F165" s="1282"/>
    </row>
    <row r="166" spans="1:7" ht="13.8" customHeight="1">
      <c r="D166" s="1282"/>
      <c r="E166" s="1282"/>
      <c r="F166" s="1282"/>
    </row>
    <row r="167" spans="1:7" ht="13.8" customHeight="1">
      <c r="A167" s="13"/>
      <c r="B167" s="13"/>
      <c r="E167" s="35"/>
      <c r="F167" s="35"/>
    </row>
    <row r="168" spans="1:7">
      <c r="A168" s="1283" t="s">
        <v>1071</v>
      </c>
      <c r="B168" s="1283"/>
      <c r="C168" s="1283"/>
      <c r="D168" s="1283"/>
      <c r="E168" s="1283"/>
      <c r="F168" s="1283"/>
      <c r="G168" s="1283"/>
    </row>
    <row r="169" spans="1:7" ht="12" customHeight="1">
      <c r="D169" s="35"/>
      <c r="E169" s="35"/>
      <c r="F169" s="35"/>
    </row>
    <row r="170" spans="1:7">
      <c r="B170" s="1300" t="s">
        <v>448</v>
      </c>
      <c r="C170" s="1300"/>
      <c r="D170" s="1300"/>
      <c r="E170" s="1300"/>
      <c r="F170" s="1300"/>
    </row>
    <row r="171" spans="1:7" ht="12" customHeight="1">
      <c r="A171" s="172"/>
      <c r="B171" s="172"/>
      <c r="C171" s="172"/>
    </row>
    <row r="172" spans="1:7">
      <c r="A172" s="1283" t="s">
        <v>1072</v>
      </c>
      <c r="B172" s="1283"/>
      <c r="C172" s="1283"/>
      <c r="D172" s="1283"/>
      <c r="E172" s="1283"/>
      <c r="F172" s="1283"/>
      <c r="G172" s="1283"/>
    </row>
    <row r="173" spans="1:7" ht="12" customHeight="1">
      <c r="A173" s="2"/>
      <c r="B173" s="2"/>
      <c r="E173" s="2"/>
    </row>
    <row r="174" spans="1:7" ht="13.2" customHeight="1">
      <c r="A174" s="2"/>
      <c r="B174" s="2"/>
      <c r="D174" s="1297" t="s">
        <v>1180</v>
      </c>
      <c r="E174" s="1297"/>
      <c r="F174" s="1297"/>
    </row>
    <row r="175" spans="1:7">
      <c r="A175" s="2"/>
      <c r="B175" s="2"/>
      <c r="D175" s="1297"/>
      <c r="E175" s="1297"/>
      <c r="F175" s="1297"/>
    </row>
    <row r="176" spans="1:7">
      <c r="A176" s="2"/>
      <c r="B176" s="2"/>
      <c r="D176" s="1298" t="s">
        <v>1181</v>
      </c>
      <c r="E176" s="1298"/>
      <c r="F176" s="1298"/>
    </row>
    <row r="177" spans="1:7" ht="12" customHeight="1">
      <c r="A177" s="2"/>
      <c r="B177" s="2"/>
      <c r="E177" s="2"/>
    </row>
    <row r="178" spans="1:7" ht="14.4">
      <c r="A178" s="176"/>
      <c r="B178" s="468" t="s">
        <v>308</v>
      </c>
      <c r="D178" s="1295" t="s">
        <v>1179</v>
      </c>
      <c r="E178" s="1295"/>
      <c r="F178" s="1295"/>
    </row>
    <row r="179" spans="1:7" ht="14.4">
      <c r="A179" s="176"/>
      <c r="B179" s="176"/>
      <c r="D179" s="1295"/>
      <c r="E179" s="1295"/>
      <c r="F179" s="1295"/>
    </row>
    <row r="180" spans="1:7" ht="14.4">
      <c r="A180" s="176"/>
      <c r="B180" s="176"/>
      <c r="D180" s="1295"/>
      <c r="E180" s="1295"/>
      <c r="F180" s="1295"/>
    </row>
    <row r="181" spans="1:7">
      <c r="D181" s="1295"/>
      <c r="E181" s="1295"/>
      <c r="F181" s="1295"/>
    </row>
    <row r="182" spans="1:7">
      <c r="D182" s="220"/>
    </row>
    <row r="183" spans="1:7">
      <c r="D183" s="1299" t="s">
        <v>1088</v>
      </c>
      <c r="E183" s="1299"/>
      <c r="F183" s="1299"/>
    </row>
    <row r="184" spans="1:7">
      <c r="D184" s="1299"/>
      <c r="E184" s="1299"/>
      <c r="F184" s="1299"/>
    </row>
    <row r="185" spans="1:7">
      <c r="D185" s="475"/>
      <c r="E185" s="475"/>
      <c r="F185" s="475"/>
    </row>
    <row r="186" spans="1:7" ht="14.4">
      <c r="A186" s="176"/>
      <c r="B186" s="468" t="s">
        <v>308</v>
      </c>
      <c r="C186" s="385"/>
      <c r="D186" s="1268" t="s">
        <v>1178</v>
      </c>
      <c r="E186" s="1268"/>
      <c r="F186" s="1268"/>
      <c r="G186" s="3"/>
    </row>
    <row r="187" spans="1:7" ht="14.55" customHeight="1">
      <c r="A187" s="176"/>
      <c r="B187"/>
      <c r="C187" s="385"/>
      <c r="D187" s="1268"/>
      <c r="E187" s="1268"/>
      <c r="F187" s="1268"/>
      <c r="G187" s="3"/>
    </row>
    <row r="188" spans="1:7" ht="14.4">
      <c r="A188" s="176"/>
      <c r="B188" s="385"/>
      <c r="C188" s="385"/>
      <c r="D188" s="1268"/>
      <c r="E188" s="1268"/>
      <c r="F188" s="1268"/>
      <c r="G188" s="3"/>
    </row>
    <row r="189" spans="1:7" ht="14.4">
      <c r="A189" s="176"/>
      <c r="B189" s="385"/>
      <c r="C189" s="385"/>
      <c r="D189" s="1268"/>
      <c r="E189" s="1268"/>
      <c r="F189" s="1268"/>
      <c r="G189" s="3"/>
    </row>
    <row r="190" spans="1:7">
      <c r="D190" s="475"/>
      <c r="E190" s="475"/>
      <c r="F190" s="475"/>
    </row>
    <row r="191" spans="1:7">
      <c r="A191" s="1283" t="s">
        <v>1073</v>
      </c>
      <c r="B191" s="1283"/>
      <c r="C191" s="1283"/>
      <c r="D191" s="1283"/>
      <c r="E191" s="1283"/>
      <c r="F191" s="1283"/>
      <c r="G191" s="1283"/>
    </row>
    <row r="192" spans="1:7" ht="12" customHeight="1">
      <c r="D192" s="35"/>
      <c r="E192" s="35"/>
      <c r="F192" s="35"/>
    </row>
    <row r="193" spans="1:6">
      <c r="C193" s="177"/>
      <c r="D193" s="1284" t="s">
        <v>209</v>
      </c>
      <c r="E193" s="1284"/>
      <c r="F193" s="1284"/>
    </row>
    <row r="194" spans="1:6">
      <c r="A194" s="172"/>
      <c r="B194" s="172"/>
      <c r="C194" s="172"/>
      <c r="D194" s="1279" t="s">
        <v>1202</v>
      </c>
      <c r="E194" s="1287"/>
      <c r="F194" s="1287"/>
    </row>
    <row r="195" spans="1:6" ht="12" customHeight="1">
      <c r="A195" s="13"/>
      <c r="B195" s="13"/>
      <c r="C195" s="13"/>
    </row>
    <row r="196" spans="1:6" ht="13.2" customHeight="1">
      <c r="A196" s="13"/>
      <c r="C196" s="13"/>
      <c r="D196" s="1284" t="s">
        <v>554</v>
      </c>
      <c r="E196" s="1284"/>
      <c r="F196" s="1284"/>
    </row>
    <row r="197" spans="1:6" ht="14.4">
      <c r="A197" s="176"/>
      <c r="B197" s="468" t="s">
        <v>308</v>
      </c>
      <c r="D197" s="1268" t="s">
        <v>1196</v>
      </c>
      <c r="E197" s="1268"/>
      <c r="F197" s="1268"/>
    </row>
    <row r="198" spans="1:6" ht="14.4">
      <c r="A198" s="176"/>
      <c r="B198" s="176"/>
      <c r="D198" s="1268"/>
      <c r="E198" s="1268"/>
      <c r="F198" s="1268"/>
    </row>
    <row r="199" spans="1:6"/>
    <row r="200" spans="1:6" ht="14.4">
      <c r="A200" s="176"/>
      <c r="B200" s="468" t="s">
        <v>308</v>
      </c>
      <c r="D200" s="1268" t="s">
        <v>1197</v>
      </c>
      <c r="E200" s="1268"/>
      <c r="F200" s="1268"/>
    </row>
    <row r="201" spans="1:6" ht="14.4">
      <c r="A201" s="176"/>
      <c r="B201" s="176"/>
      <c r="D201" s="1268"/>
      <c r="E201" s="1268"/>
      <c r="F201" s="1268"/>
    </row>
    <row r="202" spans="1:6" ht="14.4">
      <c r="A202" s="176"/>
      <c r="B202" s="176"/>
      <c r="D202" s="1268"/>
      <c r="E202" s="1268"/>
      <c r="F202" s="1268"/>
    </row>
    <row r="203" spans="1:6" ht="4.95" customHeight="1">
      <c r="A203" s="176"/>
      <c r="B203" s="176"/>
      <c r="D203" s="35"/>
      <c r="E203" s="35"/>
      <c r="F203" s="35"/>
    </row>
    <row r="204" spans="1:6" ht="14.4">
      <c r="A204" s="176"/>
      <c r="B204" s="176"/>
      <c r="D204" s="1268" t="s">
        <v>1198</v>
      </c>
      <c r="E204" s="1268"/>
      <c r="F204" s="1268"/>
    </row>
    <row r="205" spans="1:6" ht="14.4">
      <c r="A205" s="176"/>
      <c r="B205" s="176"/>
      <c r="D205" s="1268"/>
      <c r="E205" s="1268"/>
      <c r="F205" s="1268"/>
    </row>
    <row r="206" spans="1:6" ht="14.4">
      <c r="A206" s="176"/>
      <c r="B206" s="176"/>
      <c r="D206" s="1268"/>
      <c r="E206" s="1268"/>
      <c r="F206" s="1268"/>
    </row>
    <row r="207" spans="1:6" ht="14.4">
      <c r="A207" s="176"/>
      <c r="B207" s="176"/>
      <c r="D207" s="1268"/>
      <c r="E207" s="1268"/>
      <c r="F207" s="1268"/>
    </row>
    <row r="208" spans="1:6" ht="14.4">
      <c r="A208" s="176"/>
      <c r="B208" s="176"/>
      <c r="D208" s="1268"/>
      <c r="E208" s="1268"/>
      <c r="F208" s="1268"/>
    </row>
    <row r="209" spans="1:7" ht="14.4">
      <c r="A209" s="176"/>
      <c r="B209" s="176"/>
      <c r="D209" s="35"/>
      <c r="E209" s="35"/>
      <c r="F209" s="35"/>
    </row>
    <row r="210" spans="1:7" ht="14.4">
      <c r="A210" s="176"/>
      <c r="B210" s="468" t="s">
        <v>308</v>
      </c>
      <c r="D210" s="1268" t="s">
        <v>1199</v>
      </c>
      <c r="E210" s="1268"/>
      <c r="F210" s="1268"/>
    </row>
    <row r="211" spans="1:7" ht="14.4">
      <c r="A211" s="176"/>
      <c r="B211" s="176"/>
      <c r="D211" s="1268"/>
      <c r="E211" s="1268"/>
      <c r="F211" s="1268"/>
    </row>
    <row r="212" spans="1:7" ht="14.4">
      <c r="A212" s="176"/>
      <c r="B212" s="176"/>
      <c r="D212" s="1300" t="s">
        <v>908</v>
      </c>
      <c r="E212" s="1300"/>
      <c r="F212" s="1300"/>
    </row>
    <row r="213" spans="1:7" ht="14.4">
      <c r="A213" s="176"/>
      <c r="B213" s="176"/>
      <c r="D213" s="35"/>
      <c r="E213" s="35"/>
      <c r="F213" s="35"/>
    </row>
    <row r="214" spans="1:7" ht="14.55" customHeight="1">
      <c r="A214" s="176"/>
      <c r="B214" s="468" t="s">
        <v>308</v>
      </c>
      <c r="D214" s="1268" t="s">
        <v>1201</v>
      </c>
      <c r="E214" s="1268"/>
      <c r="F214" s="1268"/>
    </row>
    <row r="215" spans="1:7" ht="14.4">
      <c r="A215" s="176"/>
      <c r="B215" s="176"/>
      <c r="D215" s="1268"/>
      <c r="E215" s="1268"/>
      <c r="F215" s="1268"/>
    </row>
    <row r="216" spans="1:7" ht="14.4">
      <c r="A216" s="176"/>
      <c r="B216" s="176"/>
      <c r="D216" s="1268"/>
      <c r="E216" s="1268"/>
      <c r="F216" s="1268"/>
    </row>
    <row r="217" spans="1:7" ht="14.4">
      <c r="A217" s="176"/>
      <c r="B217" s="176"/>
      <c r="D217" s="1268"/>
      <c r="E217" s="1268"/>
      <c r="F217" s="1268"/>
    </row>
    <row r="218" spans="1:7" ht="14.4">
      <c r="A218" s="176"/>
      <c r="B218" s="176"/>
      <c r="D218" s="1268"/>
      <c r="E218" s="1268"/>
      <c r="F218" s="1268"/>
    </row>
    <row r="219" spans="1:7">
      <c r="D219" s="35"/>
      <c r="E219" s="35"/>
      <c r="F219" s="35"/>
    </row>
    <row r="220" spans="1:7" ht="14.4">
      <c r="A220" s="176"/>
      <c r="B220" s="468" t="s">
        <v>308</v>
      </c>
      <c r="D220" s="1268" t="s">
        <v>1200</v>
      </c>
      <c r="E220" s="1268"/>
      <c r="F220" s="1268"/>
    </row>
    <row r="221" spans="1:7" ht="14.4">
      <c r="A221" s="176"/>
      <c r="B221" s="176"/>
      <c r="D221" s="1268"/>
      <c r="E221" s="1268"/>
      <c r="F221" s="1268"/>
    </row>
    <row r="222" spans="1:7">
      <c r="D222" s="19"/>
    </row>
    <row r="223" spans="1:7">
      <c r="A223" s="1283" t="s">
        <v>1074</v>
      </c>
      <c r="B223" s="1283"/>
      <c r="C223" s="1283"/>
      <c r="D223" s="1283"/>
      <c r="E223" s="1283"/>
      <c r="F223" s="1283"/>
      <c r="G223" s="1283"/>
    </row>
    <row r="224" spans="1:7">
      <c r="D224" s="19"/>
    </row>
    <row r="225" spans="1:6">
      <c r="C225" s="177"/>
      <c r="D225" s="1284" t="s">
        <v>1203</v>
      </c>
      <c r="E225" s="1284"/>
      <c r="F225" s="1284"/>
    </row>
    <row r="226" spans="1:6">
      <c r="A226" s="172"/>
      <c r="B226" s="172"/>
      <c r="C226" s="172"/>
      <c r="D226" s="35"/>
      <c r="E226" s="35"/>
      <c r="F226" s="35"/>
    </row>
    <row r="227" spans="1:6">
      <c r="A227" s="175"/>
      <c r="B227" s="175"/>
      <c r="C227" s="175"/>
      <c r="D227" s="1284" t="s">
        <v>270</v>
      </c>
      <c r="E227" s="1284"/>
      <c r="F227" s="1284"/>
    </row>
    <row r="228" spans="1:6" ht="14.4">
      <c r="A228" s="176"/>
      <c r="B228" s="468" t="s">
        <v>308</v>
      </c>
      <c r="D228" s="1286" t="s">
        <v>1204</v>
      </c>
      <c r="E228" s="1286"/>
      <c r="F228" s="1286"/>
    </row>
    <row r="229" spans="1:6" ht="14.4">
      <c r="A229" s="176"/>
      <c r="B229" s="176"/>
      <c r="D229" s="1286"/>
      <c r="E229" s="1286"/>
      <c r="F229" s="1286"/>
    </row>
    <row r="230" spans="1:6">
      <c r="D230" s="35"/>
      <c r="E230" s="35"/>
      <c r="F230" s="35"/>
    </row>
    <row r="231" spans="1:6" ht="14.55" customHeight="1">
      <c r="A231" s="176"/>
      <c r="B231" s="468" t="s">
        <v>308</v>
      </c>
      <c r="D231" s="1268" t="s">
        <v>1205</v>
      </c>
      <c r="E231" s="1268"/>
      <c r="F231" s="1268"/>
    </row>
    <row r="232" spans="1:6">
      <c r="D232" s="1268"/>
      <c r="E232" s="1268"/>
      <c r="F232" s="1268"/>
    </row>
    <row r="233" spans="1:6">
      <c r="D233" s="1287" t="s">
        <v>900</v>
      </c>
      <c r="E233" s="1287"/>
      <c r="F233" s="1287"/>
    </row>
    <row r="234" spans="1:6">
      <c r="D234" s="35"/>
      <c r="E234" s="35"/>
      <c r="F234" s="35"/>
    </row>
    <row r="235" spans="1:6" ht="14.55" customHeight="1">
      <c r="A235" s="176"/>
      <c r="B235" s="468" t="s">
        <v>308</v>
      </c>
      <c r="D235" s="1268" t="s">
        <v>1207</v>
      </c>
      <c r="E235" s="1268"/>
      <c r="F235" s="1268"/>
    </row>
    <row r="236" spans="1:6">
      <c r="D236" s="1268"/>
      <c r="E236" s="1268"/>
      <c r="F236" s="1268"/>
    </row>
    <row r="237" spans="1:6">
      <c r="D237" s="1268"/>
      <c r="E237" s="1268"/>
      <c r="F237" s="1268"/>
    </row>
    <row r="238" spans="1:6">
      <c r="D238" s="1268"/>
      <c r="E238" s="1268"/>
      <c r="F238" s="1268"/>
    </row>
    <row r="239" spans="1:6">
      <c r="D239" s="1268"/>
      <c r="E239" s="1268"/>
      <c r="F239" s="1268"/>
    </row>
    <row r="240" spans="1:6">
      <c r="D240" s="35"/>
      <c r="E240" s="35"/>
      <c r="F240" s="35"/>
    </row>
    <row r="241" spans="1:7" ht="14.4">
      <c r="A241" s="176"/>
      <c r="B241" s="468" t="s">
        <v>308</v>
      </c>
      <c r="D241" s="1268" t="s">
        <v>1206</v>
      </c>
      <c r="E241" s="1268"/>
      <c r="F241" s="1268"/>
    </row>
    <row r="242" spans="1:7">
      <c r="D242" s="1268"/>
      <c r="E242" s="1268"/>
      <c r="F242" s="1268"/>
    </row>
    <row r="243" spans="1:7">
      <c r="D243" s="1268"/>
      <c r="E243" s="1268"/>
      <c r="F243" s="1268"/>
    </row>
    <row r="244" spans="1:7">
      <c r="D244" s="178"/>
      <c r="E244" s="35"/>
      <c r="F244" s="35"/>
    </row>
    <row r="245" spans="1:7">
      <c r="A245" s="1283" t="s">
        <v>1075</v>
      </c>
      <c r="B245" s="1283"/>
      <c r="C245" s="1283"/>
      <c r="D245" s="1283"/>
      <c r="E245" s="1283"/>
      <c r="F245" s="1283"/>
      <c r="G245" s="1283"/>
    </row>
    <row r="246" spans="1:7">
      <c r="D246" s="178"/>
      <c r="E246" s="35"/>
      <c r="F246" s="35"/>
    </row>
    <row r="247" spans="1:7">
      <c r="C247" s="172"/>
      <c r="D247" s="1301" t="s">
        <v>1208</v>
      </c>
      <c r="E247" s="1301"/>
      <c r="F247" s="1301"/>
    </row>
    <row r="248" spans="1:7">
      <c r="C248" s="172"/>
      <c r="D248" s="1301"/>
      <c r="E248" s="1301"/>
      <c r="F248" s="1301"/>
    </row>
    <row r="249" spans="1:7">
      <c r="A249" s="175"/>
      <c r="B249" s="175"/>
      <c r="C249" s="175"/>
      <c r="D249" s="2"/>
      <c r="E249" s="3"/>
      <c r="F249" s="3"/>
    </row>
    <row r="250" spans="1:7">
      <c r="C250" s="175"/>
      <c r="D250" s="1284" t="s">
        <v>210</v>
      </c>
      <c r="E250" s="1284"/>
      <c r="F250" s="1284"/>
    </row>
    <row r="251" spans="1:7" ht="15.75" customHeight="1">
      <c r="A251" s="176"/>
      <c r="B251" s="176"/>
      <c r="D251" s="1290" t="s">
        <v>1209</v>
      </c>
      <c r="E251" s="1290"/>
      <c r="F251" s="1290"/>
    </row>
    <row r="252" spans="1:7">
      <c r="E252" s="35"/>
      <c r="F252" s="35"/>
    </row>
    <row r="253" spans="1:7" ht="14.4">
      <c r="A253" s="176"/>
      <c r="B253" s="468" t="s">
        <v>308</v>
      </c>
      <c r="D253" s="1268" t="s">
        <v>1210</v>
      </c>
      <c r="E253" s="1268"/>
      <c r="F253" s="1268"/>
    </row>
    <row r="254" spans="1:7" ht="14.4">
      <c r="A254" s="176"/>
      <c r="B254" s="176"/>
      <c r="D254" s="1268"/>
      <c r="E254" s="1268"/>
      <c r="F254" s="1268"/>
    </row>
    <row r="255" spans="1:7">
      <c r="D255" s="35"/>
      <c r="E255" s="35"/>
      <c r="F255" s="35"/>
    </row>
    <row r="256" spans="1:7" ht="14.4">
      <c r="A256" s="176"/>
      <c r="B256" s="468" t="s">
        <v>308</v>
      </c>
      <c r="D256" s="1268" t="s">
        <v>1211</v>
      </c>
      <c r="E256" s="1268"/>
      <c r="F256" s="1268"/>
    </row>
    <row r="257" spans="1:7" ht="14.4">
      <c r="A257" s="176"/>
      <c r="B257" s="176"/>
      <c r="D257" s="1268"/>
      <c r="E257" s="1268"/>
      <c r="F257" s="1268"/>
    </row>
    <row r="258" spans="1:7" ht="14.4">
      <c r="A258" s="176"/>
      <c r="B258" s="176"/>
      <c r="D258" s="1268"/>
      <c r="E258" s="1268"/>
      <c r="F258" s="1268"/>
    </row>
    <row r="259" spans="1:7">
      <c r="D259" s="35"/>
      <c r="E259" s="35"/>
      <c r="F259" s="35"/>
    </row>
    <row r="260" spans="1:7" ht="14.4">
      <c r="A260" s="176"/>
      <c r="B260" s="468" t="s">
        <v>308</v>
      </c>
      <c r="D260" s="1268" t="s">
        <v>1212</v>
      </c>
      <c r="E260" s="1268"/>
      <c r="F260" s="1268"/>
    </row>
    <row r="261" spans="1:7" ht="14.4">
      <c r="A261" s="176"/>
      <c r="B261" s="176"/>
      <c r="D261" s="1268"/>
      <c r="E261" s="1268"/>
      <c r="F261" s="1268"/>
    </row>
    <row r="262" spans="1:7">
      <c r="A262" s="13"/>
      <c r="B262" s="13"/>
      <c r="E262" s="35"/>
      <c r="F262" s="35"/>
    </row>
    <row r="263" spans="1:7">
      <c r="A263" s="1283" t="s">
        <v>1076</v>
      </c>
      <c r="B263" s="1283"/>
      <c r="C263" s="1283"/>
      <c r="D263" s="1283"/>
      <c r="E263" s="1283"/>
      <c r="F263" s="1283"/>
      <c r="G263" s="1283"/>
    </row>
    <row r="264" spans="1:7">
      <c r="A264" s="13"/>
      <c r="B264" s="13"/>
      <c r="D264" s="35"/>
      <c r="E264" s="35"/>
      <c r="F264" s="35"/>
    </row>
    <row r="265" spans="1:7">
      <c r="C265" s="13"/>
      <c r="D265" s="1284" t="s">
        <v>689</v>
      </c>
      <c r="E265" s="1284"/>
      <c r="F265" s="1284"/>
    </row>
    <row r="266" spans="1:7">
      <c r="C266" s="13"/>
      <c r="D266" s="1279" t="s">
        <v>1213</v>
      </c>
      <c r="E266" s="1279"/>
      <c r="F266" s="1279"/>
    </row>
    <row r="267" spans="1:7">
      <c r="C267" s="13"/>
      <c r="D267" s="173"/>
    </row>
    <row r="268" spans="1:7">
      <c r="B268" s="468" t="s">
        <v>308</v>
      </c>
      <c r="D268" s="1279" t="s">
        <v>1214</v>
      </c>
      <c r="E268" s="1279"/>
      <c r="F268" s="1279"/>
    </row>
    <row r="269" spans="1:7" ht="14.4">
      <c r="A269" s="176"/>
      <c r="B269" s="176"/>
      <c r="D269" s="341"/>
      <c r="E269" s="342"/>
      <c r="F269" s="342"/>
    </row>
    <row r="270" spans="1:7" ht="13.2" customHeight="1">
      <c r="B270" s="468" t="s">
        <v>308</v>
      </c>
      <c r="D270" s="1288" t="s">
        <v>1215</v>
      </c>
      <c r="E270" s="1288"/>
      <c r="F270" s="1288"/>
    </row>
    <row r="271" spans="1:7" ht="14.4">
      <c r="A271" s="176"/>
      <c r="B271" s="176"/>
      <c r="D271" s="1288"/>
      <c r="E271" s="1288"/>
      <c r="F271" s="1288"/>
    </row>
    <row r="272" spans="1:7" ht="14.4">
      <c r="A272" s="176"/>
      <c r="B272" s="176"/>
      <c r="D272" s="1288"/>
      <c r="E272" s="1288"/>
      <c r="F272" s="1288"/>
    </row>
    <row r="273" spans="1:6" ht="14.4">
      <c r="A273" s="176"/>
      <c r="B273" s="176"/>
      <c r="D273" s="1288"/>
      <c r="E273" s="1288"/>
      <c r="F273" s="1288"/>
    </row>
    <row r="274" spans="1:6" ht="14.4">
      <c r="A274" s="176"/>
      <c r="B274" s="176"/>
      <c r="D274" s="1288"/>
      <c r="E274" s="1288"/>
      <c r="F274" s="1288"/>
    </row>
    <row r="275" spans="1:6" ht="14.4">
      <c r="A275" s="176"/>
      <c r="B275" s="176"/>
      <c r="D275" s="341"/>
      <c r="E275" s="342"/>
      <c r="F275" s="342"/>
    </row>
    <row r="276" spans="1:6" ht="13.2" customHeight="1">
      <c r="B276" s="468" t="s">
        <v>308</v>
      </c>
      <c r="D276" s="1288" t="s">
        <v>1216</v>
      </c>
      <c r="E276" s="1288"/>
      <c r="F276" s="1288"/>
    </row>
    <row r="277" spans="1:6">
      <c r="D277" s="1288"/>
      <c r="E277" s="1288"/>
      <c r="F277" s="1288"/>
    </row>
    <row r="278" spans="1:6" ht="14.4">
      <c r="A278" s="176"/>
      <c r="B278" s="176"/>
      <c r="D278" s="341"/>
      <c r="E278" s="342"/>
      <c r="F278" s="342"/>
    </row>
    <row r="279" spans="1:6">
      <c r="B279" s="468" t="s">
        <v>308</v>
      </c>
      <c r="D279" s="1279" t="s">
        <v>1217</v>
      </c>
      <c r="E279" s="1279"/>
      <c r="F279" s="1279"/>
    </row>
    <row r="280" spans="1:6">
      <c r="E280" s="35"/>
      <c r="F280" s="35"/>
    </row>
    <row r="281" spans="1:6" ht="14.4">
      <c r="A281" s="176"/>
      <c r="B281" s="468" t="s">
        <v>308</v>
      </c>
      <c r="D281" s="1268" t="s">
        <v>1218</v>
      </c>
      <c r="E281" s="1268"/>
      <c r="F281" s="1268"/>
    </row>
    <row r="282" spans="1:6" ht="14.4">
      <c r="A282" s="176"/>
      <c r="B282" s="176"/>
      <c r="D282" s="1268"/>
      <c r="E282" s="1268"/>
      <c r="F282" s="1268"/>
    </row>
    <row r="283" spans="1:6" ht="14.4">
      <c r="A283" s="176"/>
      <c r="B283" s="176"/>
      <c r="D283" s="1268"/>
      <c r="E283" s="1268"/>
      <c r="F283" s="1268"/>
    </row>
    <row r="284" spans="1:6" ht="14.4">
      <c r="A284" s="176"/>
      <c r="B284" s="176"/>
      <c r="D284" s="1268"/>
      <c r="E284" s="1268"/>
      <c r="F284" s="1268"/>
    </row>
    <row r="285" spans="1:6" ht="14.4">
      <c r="A285" s="176"/>
      <c r="B285" s="176"/>
      <c r="D285" s="1268"/>
      <c r="E285" s="1268"/>
      <c r="F285" s="1268"/>
    </row>
    <row r="286" spans="1:6" ht="14.4">
      <c r="A286" s="176"/>
      <c r="B286" s="176"/>
      <c r="D286" s="1268"/>
      <c r="E286" s="1268"/>
      <c r="F286" s="1268"/>
    </row>
    <row r="287" spans="1:6" ht="14.4">
      <c r="A287" s="176"/>
      <c r="B287" s="176"/>
      <c r="D287" s="1268"/>
      <c r="E287" s="1268"/>
      <c r="F287" s="1268"/>
    </row>
    <row r="288" spans="1:6" ht="14.4">
      <c r="A288" s="176"/>
      <c r="B288" s="176"/>
      <c r="D288" s="1268"/>
      <c r="E288" s="1268"/>
      <c r="F288" s="1268"/>
    </row>
    <row r="289" spans="1:6" ht="14.4">
      <c r="A289" s="176"/>
      <c r="B289" s="176"/>
      <c r="D289" s="1268"/>
      <c r="E289" s="1268"/>
      <c r="F289" s="1268"/>
    </row>
    <row r="290" spans="1:6" ht="14.4">
      <c r="A290" s="176"/>
      <c r="B290" s="176"/>
      <c r="D290" s="1268"/>
      <c r="E290" s="1268"/>
      <c r="F290" s="1268"/>
    </row>
    <row r="291" spans="1:6" ht="14.4">
      <c r="A291" s="176"/>
      <c r="B291" s="176"/>
      <c r="D291" s="1268"/>
      <c r="E291" s="1268"/>
      <c r="F291" s="1268"/>
    </row>
    <row r="292" spans="1:6" ht="14.4">
      <c r="A292" s="176"/>
      <c r="B292" s="176"/>
      <c r="D292" s="1268"/>
      <c r="E292" s="1268"/>
      <c r="F292" s="1268"/>
    </row>
    <row r="293" spans="1:6" ht="14.4">
      <c r="A293" s="176"/>
      <c r="B293" s="176"/>
      <c r="D293" s="1268"/>
      <c r="E293" s="1268"/>
      <c r="F293" s="1268"/>
    </row>
    <row r="294" spans="1:6" ht="14.4">
      <c r="A294" s="176"/>
      <c r="B294" s="176"/>
      <c r="D294" s="1268"/>
      <c r="E294" s="1268"/>
      <c r="F294" s="1268"/>
    </row>
    <row r="295" spans="1:6" ht="14.4">
      <c r="A295" s="176"/>
      <c r="B295" s="176"/>
      <c r="D295" s="1268"/>
      <c r="E295" s="1268"/>
      <c r="F295" s="1268"/>
    </row>
    <row r="296" spans="1:6">
      <c r="D296" s="35"/>
      <c r="E296" s="35"/>
      <c r="F296" s="35"/>
    </row>
    <row r="297" spans="1:6" ht="14.4">
      <c r="A297" s="176"/>
      <c r="B297" s="468" t="s">
        <v>308</v>
      </c>
      <c r="D297" s="1268" t="s">
        <v>1219</v>
      </c>
      <c r="E297" s="1268"/>
      <c r="F297" s="1268"/>
    </row>
    <row r="298" spans="1:6">
      <c r="D298" s="1268"/>
      <c r="E298" s="1268"/>
      <c r="F298" s="1268"/>
    </row>
    <row r="299" spans="1:6">
      <c r="D299" s="1268"/>
      <c r="E299" s="1268"/>
      <c r="F299" s="1268"/>
    </row>
    <row r="300" spans="1:6">
      <c r="D300" s="1268"/>
      <c r="E300" s="1268"/>
      <c r="F300" s="1268"/>
    </row>
    <row r="301" spans="1:6">
      <c r="D301" s="1268"/>
      <c r="E301" s="1268"/>
      <c r="F301" s="1268"/>
    </row>
    <row r="302" spans="1:6">
      <c r="D302" s="1268"/>
      <c r="E302" s="1268"/>
      <c r="F302" s="1268"/>
    </row>
    <row r="303" spans="1:6">
      <c r="D303" s="1268"/>
      <c r="E303" s="1268"/>
      <c r="F303" s="1268"/>
    </row>
    <row r="304" spans="1:6">
      <c r="D304" s="1268"/>
      <c r="E304" s="1268"/>
      <c r="F304" s="1268"/>
    </row>
    <row r="305" spans="1:7">
      <c r="D305" s="1268"/>
      <c r="E305" s="1268"/>
      <c r="F305" s="1268"/>
    </row>
    <row r="306" spans="1:7">
      <c r="D306" s="35"/>
      <c r="E306" s="35"/>
      <c r="F306" s="35"/>
    </row>
    <row r="307" spans="1:7" ht="14.4">
      <c r="A307" s="176"/>
      <c r="B307" s="468" t="s">
        <v>308</v>
      </c>
      <c r="D307" s="1268" t="s">
        <v>1220</v>
      </c>
      <c r="E307" s="1268"/>
      <c r="F307" s="1268"/>
    </row>
    <row r="308" spans="1:7">
      <c r="D308" s="1268"/>
      <c r="E308" s="1268"/>
      <c r="F308" s="1268"/>
      <c r="G308"/>
    </row>
    <row r="309" spans="1:7">
      <c r="D309" s="1268"/>
      <c r="E309" s="1268"/>
      <c r="F309" s="1268"/>
      <c r="G309"/>
    </row>
    <row r="310" spans="1:7">
      <c r="D310" s="1268"/>
      <c r="E310" s="1268"/>
      <c r="F310" s="1268"/>
      <c r="G310"/>
    </row>
    <row r="311" spans="1:7">
      <c r="D311" s="1268"/>
      <c r="E311" s="1268"/>
      <c r="F311" s="1268"/>
      <c r="G311"/>
    </row>
    <row r="312" spans="1:7">
      <c r="D312" s="1268"/>
      <c r="E312" s="1268"/>
      <c r="F312" s="1268"/>
      <c r="G312"/>
    </row>
    <row r="313" spans="1:7">
      <c r="D313" s="474"/>
      <c r="E313" s="474"/>
      <c r="F313" s="474"/>
      <c r="G313"/>
    </row>
    <row r="314" spans="1:7" ht="13.8" thickBot="1">
      <c r="D314" s="1291" t="s">
        <v>997</v>
      </c>
      <c r="E314" s="1291"/>
      <c r="F314" s="1291"/>
      <c r="G314"/>
    </row>
    <row r="315" spans="1:7" ht="13.8" thickTop="1">
      <c r="D315" s="1292" t="s">
        <v>1221</v>
      </c>
      <c r="E315" s="1292"/>
      <c r="F315" s="1292"/>
      <c r="G315"/>
    </row>
    <row r="316" spans="1:7">
      <c r="A316" s="218"/>
      <c r="B316" s="218"/>
      <c r="C316" s="218"/>
      <c r="D316" s="220"/>
      <c r="E316" s="220"/>
      <c r="F316" s="35"/>
      <c r="G316"/>
    </row>
    <row r="317" spans="1:7" ht="14.4">
      <c r="A317" s="176"/>
      <c r="B317" s="468" t="s">
        <v>308</v>
      </c>
      <c r="C317" s="218"/>
      <c r="D317" s="1281" t="s">
        <v>1222</v>
      </c>
      <c r="E317" s="1281"/>
      <c r="F317" s="1281"/>
      <c r="G317"/>
    </row>
    <row r="318" spans="1:7">
      <c r="A318" s="218"/>
      <c r="B318" s="218"/>
      <c r="C318" s="218"/>
      <c r="D318" s="220"/>
      <c r="E318" s="220"/>
      <c r="F318" s="35"/>
      <c r="G318"/>
    </row>
    <row r="319" spans="1:7">
      <c r="A319" s="218"/>
      <c r="B319" s="468" t="s">
        <v>308</v>
      </c>
      <c r="C319" s="218"/>
      <c r="D319" s="1277" t="s">
        <v>1223</v>
      </c>
      <c r="E319" s="1277"/>
      <c r="F319" s="1277"/>
      <c r="G319"/>
    </row>
    <row r="320" spans="1:7">
      <c r="A320" s="218"/>
      <c r="B320" s="218"/>
      <c r="C320" s="218"/>
      <c r="D320" s="1277"/>
      <c r="E320" s="1277"/>
      <c r="F320" s="1277"/>
      <c r="G320"/>
    </row>
    <row r="321" spans="1:7">
      <c r="A321" s="218"/>
      <c r="B321" s="218"/>
      <c r="C321" s="218"/>
      <c r="D321" s="1277"/>
      <c r="E321" s="1277"/>
      <c r="F321" s="1277"/>
      <c r="G321"/>
    </row>
    <row r="322" spans="1:7">
      <c r="A322" s="218"/>
      <c r="B322" s="218"/>
      <c r="C322" s="218"/>
      <c r="D322" s="1277"/>
      <c r="E322" s="1277"/>
      <c r="F322" s="1277"/>
      <c r="G322"/>
    </row>
    <row r="323" spans="1:7">
      <c r="A323" s="218"/>
      <c r="B323" s="218"/>
      <c r="C323" s="218"/>
      <c r="D323" s="1277"/>
      <c r="E323" s="1277"/>
      <c r="F323" s="1277"/>
      <c r="G323"/>
    </row>
    <row r="324" spans="1:7">
      <c r="A324" s="218"/>
      <c r="B324" s="218"/>
      <c r="C324" s="218"/>
      <c r="D324" s="1277"/>
      <c r="E324" s="1277"/>
      <c r="F324" s="1277"/>
      <c r="G324"/>
    </row>
    <row r="325" spans="1:7">
      <c r="A325" s="218"/>
      <c r="B325" s="218"/>
      <c r="C325" s="218"/>
      <c r="D325" s="1277"/>
      <c r="E325" s="1277"/>
      <c r="F325" s="1277"/>
      <c r="G325"/>
    </row>
    <row r="326" spans="1:7">
      <c r="A326" s="218"/>
      <c r="B326" s="218"/>
      <c r="C326" s="218"/>
      <c r="D326" s="1277"/>
      <c r="E326" s="1277"/>
      <c r="F326" s="1277"/>
      <c r="G326"/>
    </row>
    <row r="327" spans="1:7">
      <c r="A327" s="218"/>
      <c r="B327" s="218"/>
      <c r="C327" s="218"/>
      <c r="D327" s="1277"/>
      <c r="E327" s="1277"/>
      <c r="F327" s="1277"/>
      <c r="G327"/>
    </row>
    <row r="328" spans="1:7">
      <c r="A328" s="218"/>
      <c r="B328" s="218"/>
      <c r="C328" s="218"/>
      <c r="D328" s="1277"/>
      <c r="E328" s="1277"/>
      <c r="F328" s="1277"/>
      <c r="G328"/>
    </row>
    <row r="329" spans="1:7">
      <c r="A329" s="218"/>
      <c r="B329" s="218"/>
      <c r="C329" s="218"/>
      <c r="D329" s="1277"/>
      <c r="E329" s="1277"/>
      <c r="F329" s="1277"/>
      <c r="G329"/>
    </row>
    <row r="330" spans="1:7">
      <c r="A330" s="218"/>
      <c r="B330" s="218"/>
      <c r="C330" s="218"/>
      <c r="D330"/>
      <c r="E330" s="220"/>
      <c r="F330" s="35"/>
      <c r="G330"/>
    </row>
    <row r="331" spans="1:7" ht="14.4">
      <c r="A331" s="176"/>
      <c r="B331" s="468" t="s">
        <v>308</v>
      </c>
      <c r="C331" s="218"/>
      <c r="D331" s="1277" t="s">
        <v>1224</v>
      </c>
      <c r="E331" s="1277"/>
      <c r="F331" s="1277"/>
      <c r="G331"/>
    </row>
    <row r="332" spans="1:7">
      <c r="A332" s="218"/>
      <c r="B332" s="218"/>
      <c r="C332" s="218"/>
      <c r="D332" s="1277"/>
      <c r="E332" s="1277"/>
      <c r="F332" s="1277"/>
      <c r="G332"/>
    </row>
    <row r="333" spans="1:7">
      <c r="A333" s="218"/>
      <c r="B333" s="218"/>
      <c r="C333" s="218"/>
      <c r="D333" s="1277"/>
      <c r="E333" s="1277"/>
      <c r="F333" s="1277"/>
      <c r="G333"/>
    </row>
    <row r="334" spans="1:7">
      <c r="A334" s="218"/>
      <c r="B334" s="218"/>
      <c r="C334" s="218"/>
      <c r="D334" s="1277"/>
      <c r="E334" s="1277"/>
      <c r="F334" s="1277"/>
      <c r="G334"/>
    </row>
    <row r="335" spans="1:7">
      <c r="A335" s="218"/>
      <c r="B335" s="218"/>
      <c r="C335" s="218"/>
      <c r="D335" s="220"/>
      <c r="E335" s="220"/>
      <c r="F335" s="35"/>
      <c r="G335"/>
    </row>
    <row r="336" spans="1:7">
      <c r="A336" s="218"/>
      <c r="B336" s="218"/>
      <c r="C336" s="218"/>
      <c r="D336" s="1277" t="s">
        <v>1225</v>
      </c>
      <c r="E336" s="1277"/>
      <c r="F336" s="1277"/>
      <c r="G336"/>
    </row>
    <row r="337" spans="1:7">
      <c r="A337" s="218"/>
      <c r="B337" s="218"/>
      <c r="C337" s="218"/>
      <c r="D337" s="1277"/>
      <c r="E337" s="1277"/>
      <c r="F337" s="1277"/>
      <c r="G337"/>
    </row>
    <row r="338" spans="1:7">
      <c r="A338" s="218"/>
      <c r="B338" s="218"/>
      <c r="C338" s="218"/>
      <c r="D338" s="1277"/>
      <c r="E338" s="1277"/>
      <c r="F338" s="1277"/>
      <c r="G338"/>
    </row>
    <row r="339" spans="1:7">
      <c r="A339" s="218"/>
      <c r="B339" s="218"/>
      <c r="C339" s="218"/>
      <c r="D339" s="1277"/>
      <c r="E339" s="1277"/>
      <c r="F339" s="1277"/>
      <c r="G339"/>
    </row>
    <row r="340" spans="1:7" ht="18" customHeight="1">
      <c r="A340" s="218"/>
      <c r="B340" s="218"/>
      <c r="C340" s="218"/>
      <c r="D340" s="1277"/>
      <c r="E340" s="1277"/>
      <c r="F340" s="1277"/>
      <c r="G340"/>
    </row>
    <row r="341" spans="1:7">
      <c r="A341" s="218"/>
      <c r="B341" s="218"/>
      <c r="C341" s="218"/>
      <c r="D341" s="1277"/>
      <c r="E341" s="1277"/>
      <c r="F341" s="1277"/>
      <c r="G341"/>
    </row>
    <row r="342" spans="1:7">
      <c r="A342" s="218"/>
      <c r="B342" s="218"/>
      <c r="C342" s="218"/>
      <c r="D342" s="1277"/>
      <c r="E342" s="1277"/>
      <c r="F342" s="1277"/>
      <c r="G342"/>
    </row>
    <row r="343" spans="1:7">
      <c r="A343" s="218"/>
      <c r="B343" s="218"/>
      <c r="C343" s="218"/>
      <c r="D343" s="1277"/>
      <c r="E343" s="1277"/>
      <c r="F343" s="1277"/>
      <c r="G343"/>
    </row>
    <row r="344" spans="1:7" ht="8.25" customHeight="1">
      <c r="A344" s="218"/>
      <c r="B344" s="218"/>
      <c r="C344" s="218"/>
      <c r="D344" s="1277"/>
      <c r="E344" s="1277"/>
      <c r="F344" s="1277"/>
      <c r="G344"/>
    </row>
    <row r="345" spans="1:7" ht="13.2" customHeight="1">
      <c r="A345" s="218"/>
      <c r="B345" s="218"/>
      <c r="C345" s="218"/>
      <c r="D345" s="1277" t="s">
        <v>1226</v>
      </c>
      <c r="E345" s="1277"/>
      <c r="F345" s="1277"/>
      <c r="G345"/>
    </row>
    <row r="346" spans="1:7">
      <c r="A346" s="218"/>
      <c r="B346" s="218"/>
      <c r="C346" s="218"/>
      <c r="D346" s="1277"/>
      <c r="E346" s="1277"/>
      <c r="F346" s="1277"/>
      <c r="G346"/>
    </row>
    <row r="347" spans="1:7">
      <c r="A347" s="218"/>
      <c r="B347" s="218"/>
      <c r="C347" s="218"/>
      <c r="D347" s="1277"/>
      <c r="E347" s="1277"/>
      <c r="F347" s="1277"/>
      <c r="G347"/>
    </row>
    <row r="348" spans="1:7">
      <c r="A348" s="218"/>
      <c r="B348" s="218"/>
      <c r="C348" s="218"/>
      <c r="D348" s="1277"/>
      <c r="E348" s="1277"/>
      <c r="F348" s="1277"/>
      <c r="G348"/>
    </row>
    <row r="349" spans="1:7">
      <c r="A349" s="218"/>
      <c r="B349" s="218"/>
      <c r="C349" s="218"/>
      <c r="D349" s="1277"/>
      <c r="E349" s="1277"/>
      <c r="F349" s="1277"/>
      <c r="G349"/>
    </row>
    <row r="350" spans="1:7">
      <c r="A350" s="218"/>
      <c r="B350" s="218"/>
      <c r="C350" s="218"/>
      <c r="D350" s="1277"/>
      <c r="E350" s="1277"/>
      <c r="F350" s="1277"/>
      <c r="G350"/>
    </row>
    <row r="351" spans="1:7">
      <c r="A351" s="218"/>
      <c r="B351" s="218"/>
      <c r="C351" s="218"/>
      <c r="D351" s="1277"/>
      <c r="E351" s="1277"/>
      <c r="F351" s="1277"/>
      <c r="G351"/>
    </row>
    <row r="352" spans="1:7">
      <c r="A352" s="218"/>
      <c r="B352" s="218"/>
      <c r="C352" s="218"/>
      <c r="D352" s="1277"/>
      <c r="E352" s="1277"/>
      <c r="F352" s="1277"/>
      <c r="G352"/>
    </row>
    <row r="353" spans="1:7">
      <c r="A353" s="218"/>
      <c r="B353" s="218"/>
      <c r="C353" s="218"/>
      <c r="D353" s="1277"/>
      <c r="E353" s="1277"/>
      <c r="F353" s="1277"/>
      <c r="G353"/>
    </row>
    <row r="354" spans="1:7">
      <c r="A354" s="218"/>
      <c r="B354" s="218"/>
      <c r="C354" s="218"/>
      <c r="D354" s="1277"/>
      <c r="E354" s="1277"/>
      <c r="F354" s="1277"/>
      <c r="G354"/>
    </row>
    <row r="355" spans="1:7">
      <c r="A355" s="218"/>
      <c r="B355" s="218"/>
      <c r="C355" s="218"/>
      <c r="D355" s="1277"/>
      <c r="E355" s="1277"/>
      <c r="F355" s="1277"/>
      <c r="G355"/>
    </row>
    <row r="356" spans="1:7">
      <c r="A356" s="218"/>
      <c r="B356" s="218"/>
      <c r="C356" s="218"/>
      <c r="D356" s="1277"/>
      <c r="E356" s="1277"/>
      <c r="F356" s="1277"/>
      <c r="G356"/>
    </row>
    <row r="357" spans="1:7">
      <c r="A357" s="218"/>
      <c r="B357" s="218"/>
      <c r="C357" s="347"/>
      <c r="D357" s="1277"/>
      <c r="E357" s="1277"/>
      <c r="F357" s="1277"/>
      <c r="G357"/>
    </row>
    <row r="358" spans="1:7">
      <c r="A358" s="218"/>
      <c r="B358" s="218"/>
      <c r="C358" s="347"/>
      <c r="D358" s="1277"/>
      <c r="E358" s="1277"/>
      <c r="F358" s="1277"/>
      <c r="G358"/>
    </row>
    <row r="359" spans="1:7">
      <c r="A359" s="218"/>
      <c r="B359" s="218"/>
      <c r="C359" s="218"/>
      <c r="D359" s="1277"/>
      <c r="E359" s="1277"/>
      <c r="F359" s="1277"/>
      <c r="G359"/>
    </row>
    <row r="360" spans="1:7">
      <c r="A360" s="218"/>
      <c r="B360" s="218"/>
      <c r="C360" s="347"/>
      <c r="D360" s="1277"/>
      <c r="E360" s="1277"/>
      <c r="F360" s="1277"/>
      <c r="G360"/>
    </row>
    <row r="361" spans="1:7">
      <c r="A361" s="218"/>
      <c r="B361" s="218"/>
      <c r="C361" s="347"/>
      <c r="D361" s="1277"/>
      <c r="E361" s="1277"/>
      <c r="F361" s="1277"/>
      <c r="G361"/>
    </row>
    <row r="362" spans="1:7">
      <c r="A362" s="218"/>
      <c r="B362" s="218"/>
      <c r="C362" s="347"/>
      <c r="D362" s="1277"/>
      <c r="E362" s="1277"/>
      <c r="F362" s="1277"/>
      <c r="G362"/>
    </row>
    <row r="363" spans="1:7">
      <c r="A363" s="218"/>
      <c r="B363" s="218"/>
      <c r="C363" s="218"/>
      <c r="D363" s="220"/>
      <c r="E363" s="220"/>
      <c r="F363" s="35"/>
      <c r="G363"/>
    </row>
    <row r="364" spans="1:7">
      <c r="A364" s="218"/>
      <c r="B364" s="468" t="s">
        <v>308</v>
      </c>
      <c r="C364" s="218"/>
      <c r="D364" s="1277" t="s">
        <v>1227</v>
      </c>
      <c r="E364" s="1277"/>
      <c r="F364" s="1277"/>
      <c r="G364"/>
    </row>
    <row r="365" spans="1:7">
      <c r="A365" s="218"/>
      <c r="B365" s="218"/>
      <c r="C365" s="218"/>
      <c r="D365" s="1277"/>
      <c r="E365" s="1277"/>
      <c r="F365" s="1277"/>
      <c r="G365"/>
    </row>
    <row r="366" spans="1:7">
      <c r="A366" s="218"/>
      <c r="B366" s="218"/>
      <c r="C366" s="218"/>
      <c r="D366" s="220"/>
      <c r="E366" s="220"/>
      <c r="F366" s="35"/>
      <c r="G366"/>
    </row>
    <row r="367" spans="1:7" ht="14.4">
      <c r="A367" s="176"/>
      <c r="B367" s="468" t="s">
        <v>308</v>
      </c>
      <c r="C367" s="218"/>
      <c r="D367" s="1277" t="s">
        <v>1228</v>
      </c>
      <c r="E367" s="1277"/>
      <c r="F367" s="1277"/>
      <c r="G367"/>
    </row>
    <row r="368" spans="1:7" ht="14.4">
      <c r="A368" s="346"/>
      <c r="B368" s="346"/>
      <c r="C368" s="218"/>
      <c r="D368" s="1277"/>
      <c r="E368" s="1277"/>
      <c r="F368" s="1277"/>
      <c r="G368"/>
    </row>
    <row r="369" spans="1:7" ht="14.4">
      <c r="A369" s="346"/>
      <c r="B369" s="346"/>
      <c r="C369" s="218"/>
      <c r="D369" s="1277"/>
      <c r="E369" s="1277"/>
      <c r="F369" s="1277"/>
      <c r="G369"/>
    </row>
    <row r="370" spans="1:7" ht="14.4">
      <c r="A370" s="346"/>
      <c r="B370" s="346"/>
      <c r="C370" s="218"/>
      <c r="D370" s="1277"/>
      <c r="E370" s="1277"/>
      <c r="F370" s="1277"/>
      <c r="G370"/>
    </row>
    <row r="371" spans="1:7" ht="14.4">
      <c r="A371" s="346"/>
      <c r="B371" s="346"/>
      <c r="C371" s="218"/>
      <c r="D371" s="1277"/>
      <c r="E371" s="1277"/>
      <c r="F371" s="1277"/>
      <c r="G371"/>
    </row>
    <row r="372" spans="1:7">
      <c r="D372" s="35"/>
      <c r="E372" s="35"/>
      <c r="F372" s="35"/>
      <c r="G372"/>
    </row>
    <row r="373" spans="1:7" ht="14.4">
      <c r="A373" s="176"/>
      <c r="B373" s="468" t="s">
        <v>308</v>
      </c>
      <c r="C373" s="179"/>
      <c r="D373" s="1268" t="s">
        <v>1229</v>
      </c>
      <c r="E373" s="1268"/>
      <c r="F373" s="1268"/>
      <c r="G373"/>
    </row>
    <row r="374" spans="1:7" ht="14.4">
      <c r="A374" s="176"/>
      <c r="B374" s="176"/>
      <c r="D374" s="1268"/>
      <c r="E374" s="1268"/>
      <c r="F374" s="1268"/>
      <c r="G374"/>
    </row>
    <row r="375" spans="1:7">
      <c r="D375" s="1268"/>
      <c r="E375" s="1268"/>
      <c r="F375" s="1268"/>
      <c r="G375"/>
    </row>
    <row r="376" spans="1:7">
      <c r="D376" s="1268"/>
      <c r="E376" s="1268"/>
      <c r="F376" s="1268"/>
      <c r="G376"/>
    </row>
    <row r="377" spans="1:7">
      <c r="D377" s="1268"/>
      <c r="E377" s="1268"/>
      <c r="F377" s="1268"/>
      <c r="G377"/>
    </row>
    <row r="378" spans="1:7">
      <c r="D378" s="1268"/>
      <c r="E378" s="1268"/>
      <c r="F378" s="1268"/>
      <c r="G378"/>
    </row>
    <row r="379" spans="1:7">
      <c r="D379" s="1268"/>
      <c r="E379" s="1268"/>
      <c r="F379" s="1268"/>
      <c r="G379"/>
    </row>
    <row r="380" spans="1:7">
      <c r="D380" s="1268"/>
      <c r="E380" s="1268"/>
      <c r="F380" s="1268"/>
      <c r="G380"/>
    </row>
    <row r="381" spans="1:7">
      <c r="D381" s="1268"/>
      <c r="E381" s="1268"/>
      <c r="F381" s="1268"/>
      <c r="G381"/>
    </row>
    <row r="382" spans="1:7">
      <c r="D382" s="1268"/>
      <c r="E382" s="1268"/>
      <c r="F382" s="1268"/>
      <c r="G382"/>
    </row>
    <row r="383" spans="1:7">
      <c r="D383" s="1268"/>
      <c r="E383" s="1268"/>
      <c r="F383" s="1268"/>
      <c r="G383"/>
    </row>
    <row r="384" spans="1:7">
      <c r="D384" s="1268"/>
      <c r="E384" s="1268"/>
      <c r="F384" s="1268"/>
      <c r="G384"/>
    </row>
    <row r="385" spans="1:7">
      <c r="D385" s="1268"/>
      <c r="E385" s="1268"/>
      <c r="F385" s="1268"/>
      <c r="G385"/>
    </row>
    <row r="386" spans="1:7">
      <c r="A386"/>
      <c r="B386"/>
      <c r="C386"/>
      <c r="D386" s="1268"/>
      <c r="E386" s="1268"/>
      <c r="F386" s="1268"/>
      <c r="G386"/>
    </row>
    <row r="387" spans="1:7">
      <c r="A387"/>
      <c r="B387"/>
      <c r="C387"/>
      <c r="D387" s="1268"/>
      <c r="E387" s="1268"/>
      <c r="F387" s="1268"/>
      <c r="G387"/>
    </row>
    <row r="388" spans="1:7">
      <c r="A388"/>
      <c r="B388"/>
      <c r="C388"/>
      <c r="D388" s="1268"/>
      <c r="E388" s="1268"/>
      <c r="F388" s="1268"/>
      <c r="G388"/>
    </row>
    <row r="389" spans="1:7">
      <c r="A389"/>
      <c r="B389"/>
      <c r="C389"/>
      <c r="D389" s="1268"/>
      <c r="E389" s="1268"/>
      <c r="F389" s="1268"/>
      <c r="G389"/>
    </row>
    <row r="390" spans="1:7">
      <c r="A390"/>
      <c r="B390"/>
      <c r="C390"/>
      <c r="D390" s="1268"/>
      <c r="E390" s="1268"/>
      <c r="F390" s="1268"/>
      <c r="G390"/>
    </row>
    <row r="391" spans="1:7">
      <c r="A391"/>
      <c r="B391"/>
      <c r="C391"/>
      <c r="D391" s="1268"/>
      <c r="E391" s="1268"/>
      <c r="F391" s="1268"/>
      <c r="G391"/>
    </row>
    <row r="392" spans="1:7">
      <c r="A392"/>
      <c r="B392"/>
      <c r="C392"/>
      <c r="D392" s="1268"/>
      <c r="E392" s="1268"/>
      <c r="F392" s="1268"/>
      <c r="G392"/>
    </row>
    <row r="393" spans="1:7">
      <c r="A393"/>
      <c r="B393"/>
      <c r="C393"/>
      <c r="D393" s="1268"/>
      <c r="E393" s="1268"/>
      <c r="F393" s="1268"/>
      <c r="G393"/>
    </row>
    <row r="394" spans="1:7">
      <c r="A394"/>
      <c r="B394"/>
      <c r="C394"/>
      <c r="D394" s="1268"/>
      <c r="E394" s="1268"/>
      <c r="F394" s="1268"/>
      <c r="G394"/>
    </row>
    <row r="395" spans="1:7">
      <c r="A395"/>
      <c r="B395"/>
      <c r="C395"/>
      <c r="D395" s="1268"/>
      <c r="E395" s="1268"/>
      <c r="F395" s="1268"/>
      <c r="G395"/>
    </row>
    <row r="396" spans="1:7">
      <c r="A396"/>
      <c r="B396"/>
      <c r="C396"/>
      <c r="D396" s="1268"/>
      <c r="E396" s="1268"/>
      <c r="F396" s="1268"/>
      <c r="G396"/>
    </row>
    <row r="397" spans="1:7">
      <c r="A397"/>
      <c r="B397"/>
      <c r="C397"/>
      <c r="D397" s="1268"/>
      <c r="E397" s="1268"/>
      <c r="F397" s="1268"/>
      <c r="G397"/>
    </row>
    <row r="398" spans="1:7">
      <c r="A398"/>
      <c r="B398"/>
      <c r="C398"/>
      <c r="D398" s="1268"/>
      <c r="E398" s="1268"/>
      <c r="F398" s="1268"/>
      <c r="G398"/>
    </row>
    <row r="399" spans="1:7">
      <c r="A399"/>
      <c r="B399"/>
      <c r="C399"/>
      <c r="D399" s="1268"/>
      <c r="E399" s="1268"/>
      <c r="F399" s="1268"/>
      <c r="G399"/>
    </row>
    <row r="400" spans="1:7">
      <c r="A400"/>
      <c r="B400"/>
      <c r="C400"/>
      <c r="D400" s="1268"/>
      <c r="E400" s="1268"/>
      <c r="F400" s="1268"/>
      <c r="G400"/>
    </row>
    <row r="401" spans="1:7">
      <c r="A401"/>
      <c r="B401"/>
      <c r="C401"/>
      <c r="D401" s="1268"/>
      <c r="E401" s="1268"/>
      <c r="F401" s="1268"/>
      <c r="G401"/>
    </row>
    <row r="402" spans="1:7">
      <c r="D402" s="1268"/>
      <c r="E402" s="1268"/>
      <c r="F402" s="1268"/>
    </row>
    <row r="403" spans="1:7" ht="40.799999999999997" customHeight="1">
      <c r="D403" s="1268"/>
      <c r="E403" s="1268"/>
      <c r="F403" s="1268"/>
    </row>
    <row r="404" spans="1:7">
      <c r="D404" s="35"/>
      <c r="E404" s="35"/>
      <c r="F404" s="35"/>
    </row>
    <row r="405" spans="1:7" ht="14.4">
      <c r="A405" s="176"/>
      <c r="B405" s="468" t="s">
        <v>308</v>
      </c>
      <c r="C405" s="179"/>
      <c r="D405" s="1279" t="s">
        <v>1230</v>
      </c>
      <c r="E405" s="1279"/>
      <c r="F405" s="1279"/>
    </row>
    <row r="406" spans="1:7">
      <c r="D406" s="1289" t="s">
        <v>1005</v>
      </c>
      <c r="E406" s="1289"/>
      <c r="F406" s="1289"/>
    </row>
    <row r="407" spans="1:7">
      <c r="D407" s="1268" t="s">
        <v>1231</v>
      </c>
      <c r="E407" s="1268"/>
      <c r="F407" s="1268"/>
    </row>
    <row r="408" spans="1:7">
      <c r="D408" s="1268"/>
      <c r="E408" s="1268"/>
      <c r="F408" s="1268"/>
    </row>
    <row r="409" spans="1:7">
      <c r="D409" s="1268"/>
      <c r="E409" s="1268"/>
      <c r="F409" s="1268"/>
    </row>
    <row r="410" spans="1:7">
      <c r="D410" s="1268"/>
      <c r="E410" s="1268"/>
      <c r="F410" s="1268"/>
    </row>
    <row r="411" spans="1:7">
      <c r="D411" s="35"/>
      <c r="E411" s="35"/>
      <c r="F411" s="35"/>
      <c r="G411"/>
    </row>
    <row r="412" spans="1:7" ht="14.4">
      <c r="A412" s="176"/>
      <c r="B412" s="468" t="s">
        <v>308</v>
      </c>
      <c r="C412" s="179"/>
      <c r="D412" s="1268" t="s">
        <v>1232</v>
      </c>
      <c r="E412" s="1268"/>
      <c r="F412" s="1268"/>
      <c r="G412"/>
    </row>
    <row r="413" spans="1:7">
      <c r="D413" s="1268"/>
      <c r="E413" s="1268"/>
      <c r="F413" s="1268"/>
      <c r="G413"/>
    </row>
    <row r="414" spans="1:7">
      <c r="D414" s="1268"/>
      <c r="E414" s="1268"/>
      <c r="F414" s="1268"/>
      <c r="G414"/>
    </row>
    <row r="415" spans="1:7">
      <c r="D415" s="474"/>
      <c r="E415" s="474"/>
      <c r="F415" s="474"/>
      <c r="G415"/>
    </row>
    <row r="416" spans="1:7" ht="14.4">
      <c r="B416" s="468" t="s">
        <v>308</v>
      </c>
      <c r="C416" s="176"/>
      <c r="D416" s="1268" t="s">
        <v>1233</v>
      </c>
      <c r="E416" s="1268"/>
      <c r="F416" s="1268"/>
      <c r="G416"/>
    </row>
    <row r="417" spans="1:7">
      <c r="D417" s="1268"/>
      <c r="E417" s="1268"/>
      <c r="F417" s="1268"/>
      <c r="G417"/>
    </row>
    <row r="418" spans="1:7">
      <c r="D418" s="35"/>
      <c r="E418" s="35"/>
      <c r="F418" s="35"/>
      <c r="G418"/>
    </row>
    <row r="419" spans="1:7" ht="14.4">
      <c r="B419" s="468" t="s">
        <v>308</v>
      </c>
      <c r="C419" s="176"/>
      <c r="D419" s="1268" t="s">
        <v>1234</v>
      </c>
      <c r="E419" s="1268"/>
      <c r="F419" s="1268"/>
      <c r="G419"/>
    </row>
    <row r="420" spans="1:7">
      <c r="D420" s="1268"/>
      <c r="E420" s="1268"/>
      <c r="F420" s="1268"/>
      <c r="G420"/>
    </row>
    <row r="421" spans="1:7">
      <c r="D421" s="1268"/>
      <c r="E421" s="1268"/>
      <c r="F421" s="1268"/>
      <c r="G421"/>
    </row>
    <row r="422" spans="1:7">
      <c r="D422" s="1268"/>
      <c r="E422" s="1268"/>
      <c r="F422" s="1268"/>
      <c r="G422"/>
    </row>
    <row r="423" spans="1:7">
      <c r="B423" s="468" t="s">
        <v>308</v>
      </c>
      <c r="D423" s="1268"/>
      <c r="E423" s="1268"/>
      <c r="F423" s="1268"/>
      <c r="G423"/>
    </row>
    <row r="424" spans="1:7">
      <c r="A424"/>
      <c r="B424"/>
      <c r="C424"/>
      <c r="D424" s="1268"/>
      <c r="E424" s="1268"/>
      <c r="F424" s="1268"/>
      <c r="G424"/>
    </row>
    <row r="425" spans="1:7">
      <c r="A425"/>
      <c r="C425"/>
      <c r="D425" s="1268"/>
      <c r="E425" s="1268"/>
      <c r="F425" s="1268"/>
      <c r="G425"/>
    </row>
    <row r="426" spans="1:7">
      <c r="A426"/>
      <c r="B426" s="468" t="s">
        <v>308</v>
      </c>
      <c r="C426"/>
      <c r="D426" s="1268"/>
      <c r="E426" s="1268"/>
      <c r="F426" s="1268"/>
      <c r="G426"/>
    </row>
    <row r="427" spans="1:7">
      <c r="A427"/>
      <c r="B427"/>
      <c r="C427"/>
      <c r="D427" s="1268"/>
      <c r="E427" s="1268"/>
      <c r="F427" s="1268"/>
      <c r="G427"/>
    </row>
    <row r="428" spans="1:7">
      <c r="A428"/>
      <c r="C428"/>
      <c r="D428" s="1268"/>
      <c r="E428" s="1268"/>
      <c r="F428" s="1268"/>
      <c r="G428"/>
    </row>
    <row r="429" spans="1:7">
      <c r="A429"/>
      <c r="C429"/>
      <c r="D429" s="1268"/>
      <c r="E429" s="1268"/>
      <c r="F429" s="1268"/>
      <c r="G429"/>
    </row>
    <row r="430" spans="1:7">
      <c r="A430"/>
      <c r="B430" s="468" t="s">
        <v>308</v>
      </c>
      <c r="C430"/>
      <c r="D430" s="1268"/>
      <c r="E430" s="1268"/>
      <c r="F430" s="1268"/>
      <c r="G430"/>
    </row>
    <row r="431" spans="1:7">
      <c r="A431"/>
      <c r="B431"/>
      <c r="C431"/>
      <c r="D431" s="1268"/>
      <c r="E431" s="1268"/>
      <c r="F431" s="1268"/>
      <c r="G431"/>
    </row>
    <row r="432" spans="1:7">
      <c r="A432"/>
      <c r="B432" s="468" t="s">
        <v>308</v>
      </c>
      <c r="C432"/>
      <c r="D432" s="1268"/>
      <c r="E432" s="1268"/>
      <c r="F432" s="1268"/>
      <c r="G432"/>
    </row>
    <row r="433" spans="1:7">
      <c r="A433"/>
      <c r="B433"/>
      <c r="C433"/>
      <c r="D433" s="474"/>
      <c r="E433" s="474"/>
      <c r="F433" s="474"/>
      <c r="G433"/>
    </row>
    <row r="434" spans="1:7">
      <c r="A434"/>
      <c r="B434" s="468" t="s">
        <v>308</v>
      </c>
      <c r="C434"/>
      <c r="D434" s="1268" t="s">
        <v>1235</v>
      </c>
      <c r="E434" s="1268"/>
      <c r="F434" s="1268"/>
      <c r="G434"/>
    </row>
    <row r="435" spans="1:7">
      <c r="A435"/>
      <c r="B435"/>
      <c r="C435"/>
      <c r="D435" s="1268"/>
      <c r="E435" s="1268"/>
      <c r="F435" s="1268"/>
      <c r="G435"/>
    </row>
    <row r="436" spans="1:7">
      <c r="A436"/>
      <c r="B436"/>
      <c r="C436"/>
      <c r="D436" s="1268"/>
      <c r="E436" s="1268"/>
      <c r="F436" s="1268"/>
      <c r="G436"/>
    </row>
    <row r="437" spans="1:7">
      <c r="A437"/>
      <c r="B437"/>
      <c r="C437"/>
      <c r="D437" s="1268"/>
      <c r="E437" s="1268"/>
      <c r="F437" s="1268"/>
      <c r="G437"/>
    </row>
    <row r="438" spans="1:7">
      <c r="D438" s="1268"/>
      <c r="E438" s="1268"/>
      <c r="F438" s="1268"/>
    </row>
    <row r="439" spans="1:7">
      <c r="D439" s="35"/>
      <c r="E439" s="35"/>
      <c r="F439" s="35"/>
    </row>
    <row r="440" spans="1:7">
      <c r="B440" s="468" t="s">
        <v>308</v>
      </c>
      <c r="D440" s="1279" t="s">
        <v>1236</v>
      </c>
      <c r="E440" s="1279"/>
      <c r="F440" s="1279"/>
    </row>
    <row r="441" spans="1:7">
      <c r="A441" s="35"/>
      <c r="B441" s="35"/>
    </row>
    <row r="442" spans="1:7">
      <c r="A442" s="1283" t="s">
        <v>1077</v>
      </c>
      <c r="B442" s="1283"/>
      <c r="C442" s="1283"/>
      <c r="D442" s="1283"/>
      <c r="E442" s="1283"/>
      <c r="F442" s="1283"/>
      <c r="G442" s="1283"/>
    </row>
    <row r="443" spans="1:7">
      <c r="A443" s="35"/>
      <c r="B443" s="35"/>
    </row>
    <row r="444" spans="1:7">
      <c r="D444" s="1280" t="s">
        <v>894</v>
      </c>
      <c r="E444" s="1280"/>
      <c r="F444" s="1280"/>
    </row>
    <row r="445" spans="1:7" ht="14.4">
      <c r="A445" s="176"/>
      <c r="B445" s="176"/>
      <c r="D445" s="1281" t="s">
        <v>1237</v>
      </c>
      <c r="E445" s="1281"/>
      <c r="F445" s="1281"/>
    </row>
    <row r="446" spans="1:7" ht="14.4">
      <c r="A446" s="176"/>
      <c r="B446" s="176"/>
      <c r="D446" s="481"/>
      <c r="E446" s="3"/>
      <c r="F446" s="3"/>
    </row>
    <row r="447" spans="1:7" ht="14.4">
      <c r="A447" s="176"/>
      <c r="B447" s="468" t="s">
        <v>308</v>
      </c>
      <c r="D447" s="1277" t="s">
        <v>1238</v>
      </c>
      <c r="E447" s="1277"/>
      <c r="F447" s="1277"/>
    </row>
    <row r="448" spans="1:7" ht="14.4">
      <c r="A448" s="176"/>
      <c r="B448" s="176"/>
      <c r="D448" s="1277"/>
      <c r="E448" s="1277"/>
      <c r="F448" s="1277"/>
    </row>
    <row r="449" spans="1:7" ht="14.4">
      <c r="A449" s="176"/>
      <c r="B449" s="176"/>
      <c r="D449" s="118"/>
      <c r="E449" s="3"/>
      <c r="F449" s="3"/>
    </row>
    <row r="450" spans="1:7">
      <c r="B450" s="468" t="s">
        <v>308</v>
      </c>
      <c r="D450" s="1282" t="s">
        <v>1239</v>
      </c>
      <c r="E450" s="1282"/>
      <c r="F450" s="1282"/>
    </row>
    <row r="451" spans="1:7" ht="14.4">
      <c r="A451" s="176"/>
      <c r="D451" s="1282"/>
      <c r="E451" s="1282"/>
      <c r="F451" s="1282"/>
    </row>
    <row r="452" spans="1:7" ht="14.4">
      <c r="A452" s="176"/>
      <c r="B452" s="176"/>
      <c r="D452" s="1282"/>
      <c r="E452" s="1282"/>
      <c r="F452" s="1282"/>
    </row>
    <row r="453" spans="1:7" ht="14.4">
      <c r="A453" s="176"/>
      <c r="B453" s="176"/>
      <c r="D453" s="1282"/>
      <c r="E453" s="1282"/>
      <c r="F453" s="1282"/>
    </row>
    <row r="454" spans="1:7">
      <c r="D454" s="3"/>
      <c r="E454" s="3"/>
      <c r="F454" s="3"/>
      <c r="G454"/>
    </row>
    <row r="455" spans="1:7" ht="14.4">
      <c r="A455" s="176"/>
      <c r="B455" s="468" t="s">
        <v>308</v>
      </c>
      <c r="D455" s="1268" t="s">
        <v>1240</v>
      </c>
      <c r="E455" s="1268"/>
      <c r="F455" s="1268"/>
      <c r="G455"/>
    </row>
    <row r="456" spans="1:7" ht="14.4">
      <c r="A456" s="176"/>
      <c r="B456" s="176"/>
      <c r="D456" s="1268"/>
      <c r="E456" s="1268"/>
      <c r="F456" s="1268"/>
      <c r="G456"/>
    </row>
    <row r="457" spans="1:7" ht="14.4">
      <c r="A457" s="176"/>
      <c r="D457" s="1268"/>
      <c r="E457" s="1268"/>
      <c r="F457" s="1268"/>
      <c r="G457"/>
    </row>
    <row r="458" spans="1:7" ht="14.4">
      <c r="A458" s="176"/>
      <c r="B458" s="176"/>
      <c r="D458" s="3"/>
      <c r="E458" s="3"/>
      <c r="F458" s="3"/>
      <c r="G458"/>
    </row>
    <row r="459" spans="1:7" ht="14.4">
      <c r="A459" s="176"/>
      <c r="B459" s="468" t="s">
        <v>308</v>
      </c>
      <c r="D459" s="1279" t="s">
        <v>1241</v>
      </c>
      <c r="E459" s="1279"/>
      <c r="F459" s="1279"/>
      <c r="G459"/>
    </row>
    <row r="460" spans="1:7" ht="14.4">
      <c r="A460" s="176"/>
      <c r="B460" s="176"/>
      <c r="D460" s="118"/>
      <c r="E460" s="3"/>
      <c r="F460" s="3"/>
      <c r="G460"/>
    </row>
    <row r="461" spans="1:7" ht="14.4">
      <c r="A461" s="176"/>
      <c r="B461" s="468" t="s">
        <v>308</v>
      </c>
      <c r="D461" s="1268" t="s">
        <v>1242</v>
      </c>
      <c r="E461" s="1268"/>
      <c r="F461" s="1268"/>
      <c r="G461"/>
    </row>
    <row r="462" spans="1:7" ht="14.4">
      <c r="A462" s="176"/>
      <c r="D462" s="1268"/>
      <c r="E462" s="1268"/>
      <c r="F462" s="1268"/>
      <c r="G462"/>
    </row>
    <row r="463" spans="1:7">
      <c r="A463" s="13"/>
      <c r="B463" s="13"/>
      <c r="D463" s="481"/>
      <c r="E463" s="3"/>
      <c r="F463" s="3"/>
      <c r="G463"/>
    </row>
    <row r="464" spans="1:7">
      <c r="A464" s="13"/>
      <c r="B464" s="468" t="s">
        <v>308</v>
      </c>
      <c r="D464" s="1279" t="s">
        <v>1243</v>
      </c>
      <c r="E464" s="1279"/>
      <c r="F464" s="1279"/>
      <c r="G464"/>
    </row>
    <row r="465" spans="1:7" ht="14.4">
      <c r="A465" s="176"/>
      <c r="B465" s="176"/>
      <c r="D465" s="35"/>
    </row>
    <row r="466" spans="1:7">
      <c r="A466" s="1283" t="s">
        <v>1078</v>
      </c>
      <c r="B466" s="1283"/>
      <c r="C466" s="1283"/>
      <c r="D466" s="1283"/>
      <c r="E466" s="1283"/>
      <c r="F466" s="1283"/>
      <c r="G466" s="1283"/>
    </row>
    <row r="467" spans="1:7" ht="12" customHeight="1">
      <c r="A467" s="176"/>
      <c r="B467" s="176"/>
      <c r="D467" s="35"/>
    </row>
    <row r="468" spans="1:7">
      <c r="C468" s="172"/>
      <c r="D468" s="1284" t="s">
        <v>801</v>
      </c>
      <c r="E468" s="1284"/>
      <c r="F468" s="1284"/>
    </row>
    <row r="469" spans="1:7" ht="13.2" customHeight="1">
      <c r="A469" s="175"/>
      <c r="B469" s="175"/>
      <c r="C469" s="175"/>
      <c r="D469" s="1285" t="s">
        <v>1121</v>
      </c>
      <c r="E469" s="1285"/>
      <c r="F469" s="1285"/>
    </row>
    <row r="470" spans="1:7">
      <c r="A470" s="175"/>
      <c r="B470" s="175"/>
      <c r="C470" s="175"/>
      <c r="D470" s="1285"/>
      <c r="E470" s="1285"/>
      <c r="F470" s="1285"/>
    </row>
    <row r="471" spans="1:7">
      <c r="A471" s="175"/>
      <c r="B471" s="175"/>
      <c r="C471" s="175"/>
      <c r="D471" s="1285"/>
      <c r="E471" s="1285"/>
      <c r="F471" s="1285"/>
    </row>
    <row r="472" spans="1:7">
      <c r="A472" s="175"/>
      <c r="B472" s="175"/>
      <c r="C472" s="175"/>
      <c r="D472" s="1285"/>
      <c r="E472" s="1285"/>
      <c r="F472" s="1285"/>
    </row>
    <row r="473" spans="1:7">
      <c r="A473" s="175"/>
      <c r="B473" s="175"/>
      <c r="C473" s="175"/>
      <c r="D473" s="1285"/>
      <c r="E473" s="1285"/>
      <c r="F473" s="1285"/>
    </row>
    <row r="474" spans="1:7">
      <c r="A474" s="175"/>
      <c r="B474" s="175"/>
      <c r="C474" s="175"/>
      <c r="D474" s="326"/>
      <c r="F474" s="35"/>
    </row>
    <row r="475" spans="1:7" ht="14.55" customHeight="1">
      <c r="A475" s="176"/>
      <c r="B475" s="468" t="s">
        <v>308</v>
      </c>
      <c r="C475" s="175"/>
      <c r="D475" s="1299" t="s">
        <v>1112</v>
      </c>
      <c r="E475" s="1299"/>
      <c r="F475" s="1299"/>
    </row>
    <row r="476" spans="1:7">
      <c r="A476" s="175"/>
      <c r="B476" s="175"/>
      <c r="C476" s="175"/>
      <c r="D476" s="1299"/>
      <c r="E476" s="1299"/>
      <c r="F476" s="1299"/>
    </row>
    <row r="477" spans="1:7">
      <c r="A477" s="175"/>
      <c r="B477" s="175"/>
      <c r="C477" s="175"/>
      <c r="D477" s="1299"/>
      <c r="E477" s="1299"/>
      <c r="F477" s="1299"/>
    </row>
    <row r="478" spans="1:7">
      <c r="A478" s="175"/>
      <c r="B478" s="175"/>
      <c r="C478" s="175"/>
      <c r="D478" s="1299"/>
      <c r="E478" s="1299"/>
      <c r="F478" s="1299"/>
    </row>
    <row r="479" spans="1:7">
      <c r="A479" s="175"/>
      <c r="B479" s="175"/>
      <c r="C479" s="175"/>
      <c r="D479" s="1299"/>
      <c r="E479" s="1299"/>
      <c r="F479" s="1299"/>
    </row>
    <row r="480" spans="1:7">
      <c r="A480" s="175"/>
      <c r="B480" s="175"/>
      <c r="C480" s="175"/>
      <c r="D480" s="220"/>
      <c r="F480" s="35"/>
    </row>
    <row r="481" spans="1:6" ht="14.55" customHeight="1">
      <c r="A481" s="176"/>
      <c r="B481" s="468" t="s">
        <v>308</v>
      </c>
      <c r="C481" s="175"/>
      <c r="D481" s="1299" t="s">
        <v>1115</v>
      </c>
      <c r="E481" s="1299"/>
      <c r="F481" s="1299"/>
    </row>
    <row r="482" spans="1:6">
      <c r="A482" s="175"/>
      <c r="B482" s="175"/>
      <c r="C482" s="175"/>
      <c r="D482" s="1299"/>
      <c r="E482" s="1299"/>
      <c r="F482" s="1299"/>
    </row>
    <row r="483" spans="1:6">
      <c r="A483" s="175"/>
      <c r="B483" s="175"/>
      <c r="C483" s="175"/>
      <c r="D483" s="1299"/>
      <c r="E483" s="1299"/>
      <c r="F483" s="1299"/>
    </row>
    <row r="484" spans="1:6">
      <c r="A484" s="175"/>
      <c r="B484" s="175"/>
      <c r="C484" s="175"/>
      <c r="D484" s="1299"/>
      <c r="E484" s="1299"/>
      <c r="F484" s="1299"/>
    </row>
    <row r="485" spans="1:6" ht="10.050000000000001" customHeight="1">
      <c r="A485" s="175"/>
      <c r="B485" s="175"/>
      <c r="C485" s="175"/>
      <c r="D485" s="220"/>
      <c r="F485" s="35"/>
    </row>
    <row r="486" spans="1:6" ht="14.55" customHeight="1">
      <c r="A486" s="176"/>
      <c r="B486" s="468" t="s">
        <v>308</v>
      </c>
      <c r="C486" s="175"/>
      <c r="D486" s="1299" t="s">
        <v>1113</v>
      </c>
      <c r="E486" s="1299"/>
      <c r="F486" s="1299"/>
    </row>
    <row r="487" spans="1:6">
      <c r="A487" s="175"/>
      <c r="B487" s="175"/>
      <c r="C487" s="175"/>
      <c r="D487" s="1299"/>
      <c r="E487" s="1299"/>
      <c r="F487" s="1299"/>
    </row>
    <row r="488" spans="1:6">
      <c r="A488" s="175"/>
      <c r="B488" s="175"/>
      <c r="C488" s="175"/>
      <c r="D488" s="1299"/>
      <c r="E488" s="1299"/>
      <c r="F488" s="1299"/>
    </row>
    <row r="489" spans="1:6">
      <c r="A489" s="175"/>
      <c r="B489" s="175"/>
      <c r="C489" s="175"/>
      <c r="D489" s="475"/>
      <c r="E489" s="475"/>
      <c r="F489" s="475"/>
    </row>
    <row r="490" spans="1:6" ht="14.55" customHeight="1">
      <c r="A490" s="176"/>
      <c r="B490" s="468" t="s">
        <v>308</v>
      </c>
      <c r="C490" s="175"/>
      <c r="D490" s="1299" t="s">
        <v>1114</v>
      </c>
      <c r="E490" s="1299"/>
      <c r="F490" s="1299"/>
    </row>
    <row r="491" spans="1:6">
      <c r="A491" s="175"/>
      <c r="B491" s="175"/>
      <c r="C491" s="175"/>
      <c r="D491" s="1299"/>
      <c r="E491" s="1299"/>
      <c r="F491" s="1299"/>
    </row>
    <row r="492" spans="1:6">
      <c r="A492" s="175"/>
      <c r="B492" s="175"/>
      <c r="C492" s="175"/>
      <c r="D492" s="1299"/>
      <c r="E492" s="1299"/>
      <c r="F492" s="1299"/>
    </row>
    <row r="493" spans="1:6">
      <c r="A493" s="175"/>
      <c r="B493" s="175"/>
      <c r="C493" s="175"/>
      <c r="D493" s="1299"/>
      <c r="E493" s="1299"/>
      <c r="F493" s="1299"/>
    </row>
    <row r="494" spans="1:6">
      <c r="A494" s="175"/>
      <c r="B494" s="175"/>
      <c r="C494" s="175"/>
      <c r="D494" s="1299"/>
      <c r="E494" s="1299"/>
      <c r="F494" s="1299"/>
    </row>
    <row r="495" spans="1:6">
      <c r="A495" s="175"/>
      <c r="B495" s="175"/>
      <c r="C495" s="175"/>
      <c r="D495" s="1299"/>
      <c r="E495" s="1299"/>
      <c r="F495" s="1299"/>
    </row>
    <row r="496" spans="1:6">
      <c r="A496" s="175"/>
      <c r="B496" s="175"/>
      <c r="C496" s="175"/>
      <c r="D496" s="1299"/>
      <c r="E496" s="1299"/>
      <c r="F496" s="1299"/>
    </row>
    <row r="497" spans="1:7">
      <c r="A497" s="175"/>
      <c r="B497" s="175"/>
      <c r="C497" s="175"/>
      <c r="D497" s="1299"/>
      <c r="E497" s="1299"/>
      <c r="F497" s="1299"/>
    </row>
    <row r="498" spans="1:7">
      <c r="A498" s="175"/>
      <c r="B498" s="175"/>
      <c r="C498" s="175"/>
      <c r="D498" s="1299"/>
      <c r="E498" s="1299"/>
      <c r="F498" s="1299"/>
    </row>
    <row r="499" spans="1:7">
      <c r="A499" s="175"/>
      <c r="B499" s="175"/>
      <c r="C499" s="175"/>
      <c r="D499" s="220"/>
      <c r="F499" s="35"/>
    </row>
    <row r="500" spans="1:7" ht="13.2" customHeight="1">
      <c r="A500" s="175"/>
      <c r="B500" s="468" t="s">
        <v>308</v>
      </c>
      <c r="C500" s="175"/>
      <c r="D500" s="1277" t="s">
        <v>1258</v>
      </c>
      <c r="E500" s="1277"/>
      <c r="F500" s="1277"/>
    </row>
    <row r="501" spans="1:7">
      <c r="A501" s="175"/>
      <c r="B501" s="175"/>
      <c r="C501" s="175"/>
      <c r="D501" s="1277"/>
      <c r="E501" s="1277"/>
      <c r="F501" s="1277"/>
    </row>
    <row r="502" spans="1:7">
      <c r="A502" s="175"/>
      <c r="B502" s="175"/>
      <c r="C502" s="175"/>
      <c r="D502" s="1277"/>
      <c r="E502" s="1277"/>
      <c r="F502" s="1277"/>
    </row>
    <row r="503" spans="1:7">
      <c r="A503" s="175"/>
      <c r="B503" s="175"/>
      <c r="C503" s="175"/>
      <c r="D503" s="1277"/>
      <c r="E503" s="1277"/>
      <c r="F503" s="1277"/>
    </row>
    <row r="504" spans="1:7">
      <c r="A504" s="175"/>
      <c r="B504" s="175"/>
      <c r="C504" s="175"/>
      <c r="D504" s="1277"/>
      <c r="E504" s="1277"/>
      <c r="F504" s="1277"/>
    </row>
    <row r="505" spans="1:7">
      <c r="A505" s="175"/>
      <c r="B505" s="175"/>
      <c r="C505" s="175"/>
      <c r="D505" s="485"/>
      <c r="E505" s="485"/>
      <c r="F505" s="485"/>
    </row>
    <row r="506" spans="1:7" ht="14.55" customHeight="1">
      <c r="A506" s="176"/>
      <c r="B506" s="468" t="s">
        <v>308</v>
      </c>
      <c r="D506" s="1299" t="s">
        <v>1116</v>
      </c>
      <c r="E506" s="1299"/>
      <c r="F506" s="1299"/>
    </row>
    <row r="507" spans="1:7">
      <c r="D507" s="1299"/>
      <c r="E507" s="1299"/>
      <c r="F507" s="1299"/>
    </row>
    <row r="508" spans="1:7">
      <c r="D508" s="1299"/>
      <c r="E508" s="1299"/>
      <c r="F508" s="1299"/>
    </row>
    <row r="509" spans="1:7" ht="12" customHeight="1">
      <c r="A509" s="35"/>
      <c r="B509" s="35"/>
      <c r="C509" s="179"/>
      <c r="D509" s="35"/>
      <c r="F509" s="57"/>
    </row>
    <row r="510" spans="1:7">
      <c r="A510" s="1283" t="s">
        <v>1079</v>
      </c>
      <c r="B510" s="1283"/>
      <c r="C510" s="1283"/>
      <c r="D510" s="1283"/>
      <c r="E510" s="1283"/>
      <c r="F510" s="1283"/>
      <c r="G510" s="1283"/>
    </row>
    <row r="511" spans="1:7">
      <c r="A511" s="35"/>
      <c r="B511" s="35"/>
      <c r="C511" s="179"/>
      <c r="F511" s="57"/>
    </row>
    <row r="512" spans="1:7">
      <c r="B512" s="1300" t="s">
        <v>448</v>
      </c>
      <c r="C512" s="1300"/>
      <c r="D512" s="1300"/>
      <c r="E512" s="1300"/>
      <c r="F512" s="1300"/>
    </row>
    <row r="513" spans="1:7">
      <c r="A513" s="35"/>
      <c r="B513" s="35"/>
      <c r="C513" s="179"/>
      <c r="D513" s="35"/>
      <c r="F513" s="35"/>
    </row>
    <row r="514" spans="1:7">
      <c r="A514" s="1314" t="s">
        <v>1080</v>
      </c>
      <c r="B514" s="1314"/>
      <c r="C514" s="1314"/>
      <c r="D514" s="1314"/>
      <c r="E514" s="1314"/>
      <c r="F514" s="1314"/>
      <c r="G514" s="1314"/>
    </row>
    <row r="515" spans="1:7">
      <c r="A515" s="35"/>
      <c r="B515" s="35"/>
      <c r="C515" s="179"/>
      <c r="D515" s="35"/>
      <c r="F515" s="35"/>
    </row>
    <row r="516" spans="1:7">
      <c r="C516" s="179"/>
      <c r="D516" s="1284" t="s">
        <v>690</v>
      </c>
      <c r="E516" s="1284"/>
      <c r="F516" s="1284"/>
    </row>
    <row r="517" spans="1:7">
      <c r="C517" s="179"/>
      <c r="D517" s="1279" t="s">
        <v>1137</v>
      </c>
      <c r="E517" s="1279"/>
      <c r="F517" s="1279"/>
    </row>
    <row r="518" spans="1:7">
      <c r="C518" s="179"/>
      <c r="D518" s="118"/>
      <c r="E518" s="118"/>
      <c r="F518" s="118"/>
    </row>
    <row r="519" spans="1:7" ht="13.2" customHeight="1">
      <c r="A519" s="176"/>
      <c r="B519" s="468" t="s">
        <v>308</v>
      </c>
      <c r="C519" s="179"/>
      <c r="D519" s="1279" t="s">
        <v>895</v>
      </c>
      <c r="E519" s="1279"/>
      <c r="F519" s="1279"/>
      <c r="G519"/>
    </row>
    <row r="520" spans="1:7" ht="13.2" customHeight="1">
      <c r="A520" s="179"/>
      <c r="B520" s="179"/>
      <c r="C520" s="179"/>
      <c r="D520" s="118"/>
      <c r="E520"/>
      <c r="F520"/>
      <c r="G520"/>
    </row>
    <row r="521" spans="1:7" ht="14.4">
      <c r="A521" s="176"/>
      <c r="B521" s="468" t="s">
        <v>308</v>
      </c>
      <c r="C521" s="179"/>
      <c r="D521" s="1268" t="s">
        <v>1138</v>
      </c>
      <c r="E521" s="1268"/>
      <c r="F521" s="1268"/>
      <c r="G521"/>
    </row>
    <row r="522" spans="1:7">
      <c r="A522" s="179"/>
      <c r="B522" s="179"/>
      <c r="C522" s="179"/>
      <c r="D522" s="1268"/>
      <c r="E522" s="1268"/>
      <c r="F522" s="1268"/>
      <c r="G522"/>
    </row>
    <row r="523" spans="1:7">
      <c r="A523" s="179"/>
      <c r="B523" s="179"/>
      <c r="C523" s="179"/>
      <c r="D523" s="35"/>
      <c r="E523" s="35"/>
      <c r="F523" s="35"/>
      <c r="G523"/>
    </row>
    <row r="524" spans="1:7" ht="14.4">
      <c r="A524" s="176"/>
      <c r="B524" s="468" t="s">
        <v>308</v>
      </c>
      <c r="C524" s="179"/>
      <c r="D524" s="1268" t="s">
        <v>1139</v>
      </c>
      <c r="E524" s="1268"/>
      <c r="F524" s="1268"/>
      <c r="G524"/>
    </row>
    <row r="525" spans="1:7">
      <c r="A525" s="179"/>
      <c r="B525" s="179"/>
      <c r="C525" s="179"/>
      <c r="D525" s="1268"/>
      <c r="E525" s="1268"/>
      <c r="F525" s="1268"/>
      <c r="G525"/>
    </row>
    <row r="526" spans="1:7">
      <c r="A526" s="179"/>
      <c r="B526" s="179"/>
      <c r="C526" s="179"/>
      <c r="D526" s="35"/>
      <c r="E526" s="35"/>
      <c r="F526" s="35"/>
      <c r="G526"/>
    </row>
    <row r="527" spans="1:7" ht="14.4">
      <c r="A527" s="176"/>
      <c r="B527" s="468" t="s">
        <v>308</v>
      </c>
      <c r="C527" s="179"/>
      <c r="D527" s="1268" t="s">
        <v>1140</v>
      </c>
      <c r="E527" s="1268"/>
      <c r="F527" s="1268"/>
      <c r="G527"/>
    </row>
    <row r="528" spans="1:7">
      <c r="A528" s="179"/>
      <c r="B528" s="179"/>
      <c r="C528" s="179"/>
      <c r="D528" s="1268"/>
      <c r="E528" s="1268"/>
      <c r="F528" s="1268"/>
      <c r="G528"/>
    </row>
    <row r="529" spans="1:7">
      <c r="A529" s="179"/>
      <c r="B529" s="179"/>
      <c r="C529" s="179"/>
      <c r="D529" s="35"/>
      <c r="E529" s="35"/>
      <c r="F529" s="35"/>
      <c r="G529"/>
    </row>
    <row r="530" spans="1:7" ht="14.4">
      <c r="A530" s="176"/>
      <c r="B530" s="468" t="s">
        <v>308</v>
      </c>
      <c r="C530" s="179"/>
      <c r="D530" s="1268" t="s">
        <v>1141</v>
      </c>
      <c r="E530" s="1268"/>
      <c r="F530" s="1268"/>
      <c r="G530"/>
    </row>
    <row r="531" spans="1:7">
      <c r="A531" s="179"/>
      <c r="B531" s="179"/>
      <c r="C531" s="179"/>
      <c r="D531" s="1268"/>
      <c r="E531" s="1268"/>
      <c r="F531" s="1268"/>
      <c r="G531"/>
    </row>
    <row r="532" spans="1:7">
      <c r="A532" s="179"/>
      <c r="B532" s="179"/>
      <c r="C532" s="179"/>
      <c r="D532" s="1268"/>
      <c r="E532" s="1268"/>
      <c r="F532" s="1268"/>
      <c r="G532"/>
    </row>
    <row r="533" spans="1:7">
      <c r="A533" s="179"/>
      <c r="B533" s="179"/>
      <c r="C533" s="179"/>
      <c r="D533" s="35"/>
      <c r="E533" s="35"/>
      <c r="F533" s="35"/>
    </row>
    <row r="534" spans="1:7" ht="14.4">
      <c r="A534" s="176"/>
      <c r="B534" s="468" t="s">
        <v>308</v>
      </c>
      <c r="C534" s="179"/>
      <c r="D534" s="1268" t="s">
        <v>1259</v>
      </c>
      <c r="E534" s="1268"/>
      <c r="F534" s="1268"/>
    </row>
    <row r="535" spans="1:7">
      <c r="A535" s="179"/>
      <c r="B535" s="179"/>
      <c r="C535" s="179"/>
      <c r="D535" s="1268"/>
      <c r="E535" s="1268"/>
      <c r="F535" s="1268"/>
    </row>
    <row r="536" spans="1:7">
      <c r="A536" s="179"/>
      <c r="B536" s="179"/>
      <c r="C536" s="179"/>
      <c r="D536" s="35"/>
      <c r="E536" s="35"/>
      <c r="F536" s="35"/>
    </row>
    <row r="537" spans="1:7" ht="14.4">
      <c r="A537" s="176"/>
      <c r="B537" s="468" t="s">
        <v>308</v>
      </c>
      <c r="C537" s="179"/>
      <c r="D537" s="1268" t="s">
        <v>1142</v>
      </c>
      <c r="E537" s="1268"/>
      <c r="F537" s="1268"/>
    </row>
    <row r="538" spans="1:7">
      <c r="A538" s="179"/>
      <c r="B538" s="179"/>
      <c r="C538" s="179"/>
      <c r="D538" s="1268"/>
      <c r="E538" s="1268"/>
      <c r="F538" s="1268"/>
    </row>
    <row r="539" spans="1:7">
      <c r="A539" s="179"/>
      <c r="B539" s="179"/>
      <c r="C539" s="179"/>
      <c r="D539" s="35"/>
      <c r="E539" s="35"/>
      <c r="F539" s="35"/>
    </row>
    <row r="540" spans="1:7" ht="14.4">
      <c r="A540" s="176"/>
      <c r="B540" s="468" t="s">
        <v>308</v>
      </c>
      <c r="C540" s="179"/>
      <c r="D540" s="1268" t="s">
        <v>1143</v>
      </c>
      <c r="E540" s="1268"/>
      <c r="F540" s="1268"/>
    </row>
    <row r="541" spans="1:7">
      <c r="A541" s="179"/>
      <c r="B541" s="179"/>
      <c r="C541" s="179"/>
      <c r="D541" s="1268"/>
      <c r="E541" s="1268"/>
      <c r="F541" s="1268"/>
    </row>
    <row r="542" spans="1:7">
      <c r="A542" s="179"/>
      <c r="B542" s="179"/>
      <c r="C542" s="179"/>
      <c r="D542" s="35"/>
      <c r="E542" s="35"/>
      <c r="F542" s="35"/>
    </row>
    <row r="543" spans="1:7" ht="14.4">
      <c r="A543" s="176"/>
      <c r="B543" s="468" t="s">
        <v>308</v>
      </c>
      <c r="C543" s="179"/>
      <c r="D543" s="1279" t="s">
        <v>1144</v>
      </c>
      <c r="E543" s="1279"/>
      <c r="F543" s="1279"/>
    </row>
    <row r="544" spans="1:7">
      <c r="A544" s="13"/>
      <c r="B544" s="13"/>
      <c r="C544" s="179"/>
      <c r="D544" s="1279" t="s">
        <v>828</v>
      </c>
      <c r="E544" s="1279"/>
      <c r="F544" s="1279"/>
    </row>
    <row r="545" spans="1:7">
      <c r="A545" s="13"/>
      <c r="B545" s="13"/>
      <c r="C545" s="179"/>
      <c r="D545" s="3"/>
      <c r="E545" s="1290" t="s">
        <v>1145</v>
      </c>
      <c r="F545" s="1290"/>
    </row>
    <row r="546" spans="1:7" ht="14.4">
      <c r="A546" s="176"/>
      <c r="B546" s="176"/>
      <c r="C546" s="179"/>
      <c r="E546" s="35"/>
      <c r="F546" s="35"/>
    </row>
    <row r="547" spans="1:7" ht="14.4">
      <c r="A547" s="176"/>
      <c r="B547" s="468" t="s">
        <v>308</v>
      </c>
      <c r="C547" s="179"/>
      <c r="D547" s="1279" t="s">
        <v>1146</v>
      </c>
      <c r="E547" s="1279"/>
      <c r="F547" s="1279"/>
    </row>
    <row r="548" spans="1:7">
      <c r="C548" s="179"/>
      <c r="D548" s="1268" t="s">
        <v>1147</v>
      </c>
      <c r="E548" s="1268"/>
      <c r="F548" s="1268"/>
    </row>
    <row r="549" spans="1:7">
      <c r="A549" s="179"/>
      <c r="B549" s="179"/>
      <c r="C549" s="179"/>
      <c r="D549" s="1268"/>
      <c r="E549" s="1268"/>
      <c r="F549" s="1268"/>
    </row>
    <row r="550" spans="1:7">
      <c r="A550" s="179"/>
      <c r="B550" s="179"/>
      <c r="C550" s="179"/>
      <c r="D550" s="1268"/>
      <c r="E550" s="1268"/>
      <c r="F550" s="1268"/>
    </row>
    <row r="551" spans="1:7">
      <c r="A551" s="179"/>
      <c r="B551" s="179"/>
      <c r="C551" s="179"/>
      <c r="D551" s="35"/>
      <c r="E551" s="35"/>
      <c r="F551" s="35"/>
    </row>
    <row r="552" spans="1:7" ht="14.4">
      <c r="A552" s="176"/>
      <c r="B552" s="468" t="s">
        <v>308</v>
      </c>
      <c r="C552" s="179"/>
      <c r="D552" s="1268" t="s">
        <v>1148</v>
      </c>
      <c r="E552" s="1268"/>
      <c r="F552" s="1268"/>
    </row>
    <row r="553" spans="1:7" ht="14.4">
      <c r="A553" s="176"/>
      <c r="B553" s="176"/>
      <c r="C553" s="179"/>
      <c r="D553" s="1268"/>
      <c r="E553" s="1268"/>
      <c r="F553" s="1268"/>
    </row>
    <row r="554" spans="1:7" ht="14.4">
      <c r="A554" s="176"/>
      <c r="B554" s="176"/>
      <c r="C554" s="179"/>
      <c r="D554" s="1268"/>
      <c r="E554" s="1268"/>
      <c r="F554" s="1268"/>
    </row>
    <row r="555" spans="1:7" ht="14.4">
      <c r="A555" s="176"/>
      <c r="B555" s="176"/>
      <c r="C555" s="179"/>
      <c r="D555" s="1268"/>
      <c r="E555" s="1268"/>
      <c r="F555" s="1268"/>
    </row>
    <row r="556" spans="1:7" ht="14.4">
      <c r="A556" s="176"/>
      <c r="B556" s="176"/>
      <c r="C556" s="179"/>
      <c r="D556" s="35"/>
      <c r="E556" s="35"/>
      <c r="F556" s="35"/>
    </row>
    <row r="557" spans="1:7">
      <c r="A557" s="1283" t="s">
        <v>1081</v>
      </c>
      <c r="B557" s="1283"/>
      <c r="C557" s="1283"/>
      <c r="D557" s="1283"/>
      <c r="E557" s="1283"/>
      <c r="F557" s="1283"/>
      <c r="G557" s="1283"/>
    </row>
    <row r="558" spans="1:7">
      <c r="A558" s="179"/>
      <c r="B558" s="179"/>
      <c r="C558" s="179"/>
      <c r="E558" s="35"/>
      <c r="F558" s="35"/>
    </row>
    <row r="559" spans="1:7" ht="12.75" customHeight="1">
      <c r="C559" s="172"/>
      <c r="D559" s="1301" t="s">
        <v>211</v>
      </c>
      <c r="E559" s="1301"/>
      <c r="F559" s="1301"/>
    </row>
    <row r="560" spans="1:7">
      <c r="A560" s="175"/>
      <c r="B560" s="175"/>
      <c r="C560" s="175"/>
      <c r="D560" s="1282" t="s">
        <v>1097</v>
      </c>
      <c r="E560" s="1282"/>
      <c r="F560" s="1282"/>
    </row>
    <row r="561" spans="1:6">
      <c r="A561"/>
      <c r="B561"/>
      <c r="C561" s="175"/>
      <c r="D561" s="255"/>
    </row>
    <row r="562" spans="1:6">
      <c r="A562" s="175"/>
      <c r="B562" s="468" t="s">
        <v>308</v>
      </c>
      <c r="D562" s="1282" t="s">
        <v>901</v>
      </c>
      <c r="E562" s="1282"/>
      <c r="F562" s="1282"/>
    </row>
    <row r="563" spans="1:6">
      <c r="A563" s="13"/>
      <c r="B563" s="13"/>
      <c r="D563" s="218"/>
    </row>
    <row r="564" spans="1:6">
      <c r="A564" s="13"/>
      <c r="B564" s="468" t="s">
        <v>308</v>
      </c>
      <c r="D564" s="1282" t="s">
        <v>1098</v>
      </c>
      <c r="E564" s="1282"/>
      <c r="F564" s="1282"/>
    </row>
    <row r="565" spans="1:6">
      <c r="A565" s="13"/>
      <c r="B565" s="13"/>
      <c r="D565" s="1282"/>
      <c r="E565" s="1282"/>
      <c r="F565" s="1282"/>
    </row>
    <row r="566" spans="1:6">
      <c r="A566" s="13"/>
      <c r="B566" s="13"/>
      <c r="D566" s="1282"/>
      <c r="E566" s="1282"/>
      <c r="F566" s="1282"/>
    </row>
    <row r="567" spans="1:6">
      <c r="A567" s="13"/>
      <c r="B567" s="13"/>
      <c r="D567" s="255"/>
    </row>
    <row r="568" spans="1:6">
      <c r="A568" s="13"/>
      <c r="B568" s="468" t="s">
        <v>308</v>
      </c>
      <c r="D568" s="1282" t="s">
        <v>1099</v>
      </c>
      <c r="E568" s="1282"/>
      <c r="F568" s="1282"/>
    </row>
    <row r="569" spans="1:6">
      <c r="A569" s="13"/>
      <c r="B569" s="13"/>
      <c r="D569" s="1282"/>
      <c r="E569" s="1282"/>
      <c r="F569" s="1282"/>
    </row>
    <row r="570" spans="1:6">
      <c r="A570" s="13"/>
      <c r="B570" s="13"/>
      <c r="D570" s="1282"/>
      <c r="E570" s="1282"/>
      <c r="F570" s="1282"/>
    </row>
    <row r="571" spans="1:6">
      <c r="A571" s="13"/>
      <c r="B571" s="13"/>
      <c r="D571" s="1282"/>
      <c r="E571" s="1282"/>
      <c r="F571" s="1282"/>
    </row>
    <row r="572" spans="1:6">
      <c r="A572" s="13"/>
      <c r="B572" s="13"/>
      <c r="D572" s="473"/>
      <c r="E572" s="473"/>
      <c r="F572" s="473"/>
    </row>
    <row r="573" spans="1:6">
      <c r="A573" s="13"/>
      <c r="B573" s="468" t="s">
        <v>308</v>
      </c>
      <c r="D573" s="1282" t="s">
        <v>1100</v>
      </c>
      <c r="E573" s="1282"/>
      <c r="F573" s="1282"/>
    </row>
    <row r="574" spans="1:6">
      <c r="A574" s="13"/>
      <c r="B574" s="13"/>
      <c r="D574" s="1282"/>
      <c r="E574" s="1282"/>
      <c r="F574" s="1282"/>
    </row>
    <row r="575" spans="1:6">
      <c r="A575" s="13"/>
      <c r="B575" s="13"/>
      <c r="D575" s="255"/>
    </row>
    <row r="576" spans="1:6">
      <c r="A576" s="13"/>
      <c r="B576" s="468" t="s">
        <v>308</v>
      </c>
      <c r="D576" s="1282" t="s">
        <v>1101</v>
      </c>
      <c r="E576" s="1282"/>
      <c r="F576" s="1282"/>
    </row>
    <row r="577" spans="1:7">
      <c r="A577" s="13"/>
      <c r="B577" s="13"/>
      <c r="D577" s="1282"/>
      <c r="E577" s="1282"/>
      <c r="F577" s="1282"/>
    </row>
    <row r="578" spans="1:7">
      <c r="A578" s="13"/>
      <c r="B578" s="13"/>
      <c r="D578" s="255"/>
    </row>
    <row r="579" spans="1:7" ht="14.4">
      <c r="A579" s="176"/>
      <c r="B579" s="468" t="s">
        <v>308</v>
      </c>
      <c r="D579" s="1282" t="s">
        <v>896</v>
      </c>
      <c r="E579" s="1282"/>
      <c r="F579" s="1282"/>
    </row>
    <row r="580" spans="1:7" ht="14.4">
      <c r="A580" s="176"/>
      <c r="B580" s="176"/>
      <c r="D580" s="255"/>
    </row>
    <row r="581" spans="1:7" ht="14.4">
      <c r="A581" s="176"/>
      <c r="B581" s="468" t="s">
        <v>308</v>
      </c>
      <c r="D581" s="1282" t="s">
        <v>1102</v>
      </c>
      <c r="E581" s="1282"/>
      <c r="F581" s="1282"/>
    </row>
    <row r="582" spans="1:7" ht="14.4">
      <c r="A582" s="176"/>
      <c r="B582" s="176"/>
      <c r="D582" s="1282"/>
      <c r="E582" s="1282"/>
      <c r="F582" s="1282"/>
    </row>
    <row r="583" spans="1:7">
      <c r="D583" s="1282"/>
      <c r="E583" s="1282"/>
      <c r="F583" s="1282"/>
    </row>
    <row r="584" spans="1:7">
      <c r="D584" s="1282"/>
      <c r="E584" s="1282"/>
      <c r="F584" s="1282"/>
    </row>
    <row r="585" spans="1:7">
      <c r="D585" s="1282"/>
      <c r="E585" s="1282"/>
      <c r="F585" s="1282"/>
    </row>
    <row r="586" spans="1:7">
      <c r="D586" s="1282"/>
      <c r="E586" s="1282"/>
      <c r="F586" s="1282"/>
    </row>
    <row r="587" spans="1:7"/>
    <row r="588" spans="1:7">
      <c r="A588" s="1283" t="s">
        <v>1082</v>
      </c>
      <c r="B588" s="1283"/>
      <c r="C588" s="1283"/>
      <c r="D588" s="1283"/>
      <c r="E588" s="1283"/>
      <c r="F588" s="1283"/>
      <c r="G588" s="1283"/>
    </row>
    <row r="589" spans="1:7"/>
    <row r="590" spans="1:7">
      <c r="D590" s="1294" t="s">
        <v>1182</v>
      </c>
      <c r="E590" s="1294"/>
      <c r="F590" s="1294"/>
    </row>
    <row r="591" spans="1:7">
      <c r="D591" s="1317" t="s">
        <v>1183</v>
      </c>
      <c r="E591" s="1317"/>
      <c r="F591" s="1317"/>
    </row>
    <row r="592" spans="1:7">
      <c r="D592" s="478"/>
      <c r="E592" s="433"/>
      <c r="F592" s="433"/>
    </row>
    <row r="593" spans="1:7" ht="14.4">
      <c r="A593" s="176"/>
      <c r="B593" s="468" t="s">
        <v>308</v>
      </c>
      <c r="D593" s="1295" t="s">
        <v>1184</v>
      </c>
      <c r="E593" s="1295"/>
      <c r="F593" s="1295"/>
    </row>
    <row r="594" spans="1:7">
      <c r="D594" s="1295"/>
      <c r="E594" s="1295"/>
      <c r="F594" s="1295"/>
    </row>
    <row r="595" spans="1:7">
      <c r="D595" s="1295"/>
      <c r="E595" s="1295"/>
      <c r="F595" s="1295"/>
    </row>
    <row r="596" spans="1:7"/>
    <row r="597" spans="1:7">
      <c r="A597" s="1283" t="s">
        <v>1083</v>
      </c>
      <c r="B597" s="1283"/>
      <c r="C597" s="1283"/>
      <c r="D597" s="1283"/>
      <c r="E597" s="1283"/>
      <c r="F597" s="1283"/>
      <c r="G597" s="1283"/>
    </row>
    <row r="598" spans="1:7">
      <c r="A598" s="35"/>
      <c r="B598" s="35"/>
    </row>
    <row r="599" spans="1:7">
      <c r="A599" s="172"/>
      <c r="B599" s="172"/>
      <c r="C599" s="172"/>
      <c r="D599" s="1318" t="s">
        <v>1185</v>
      </c>
      <c r="E599" s="1318"/>
      <c r="F599" s="1318"/>
    </row>
    <row r="600" spans="1:7">
      <c r="A600" s="172"/>
      <c r="B600" s="172"/>
      <c r="C600" s="172"/>
      <c r="D600" s="1318"/>
      <c r="E600" s="1318"/>
      <c r="F600" s="1318"/>
    </row>
    <row r="601" spans="1:7">
      <c r="C601" s="175"/>
      <c r="D601" s="1317" t="s">
        <v>1186</v>
      </c>
      <c r="E601" s="1317"/>
      <c r="F601" s="1317"/>
    </row>
    <row r="602" spans="1:7">
      <c r="C602" s="175"/>
      <c r="D602" s="478"/>
      <c r="E602" s="478"/>
      <c r="F602" s="478"/>
    </row>
    <row r="603" spans="1:7">
      <c r="A603" s="13"/>
      <c r="B603" s="468" t="s">
        <v>308</v>
      </c>
      <c r="D603" s="1317" t="s">
        <v>433</v>
      </c>
      <c r="E603" s="1317"/>
      <c r="F603" s="1317"/>
    </row>
    <row r="604" spans="1:7">
      <c r="C604" s="180"/>
      <c r="E604"/>
    </row>
    <row r="605" spans="1:7">
      <c r="A605" s="13"/>
      <c r="B605" s="468" t="s">
        <v>308</v>
      </c>
      <c r="D605" s="1293" t="s">
        <v>1187</v>
      </c>
      <c r="E605" s="1293"/>
      <c r="F605" s="1293"/>
    </row>
    <row r="606" spans="1:7">
      <c r="D606" s="1293"/>
      <c r="E606" s="1293"/>
      <c r="F606" s="1293"/>
    </row>
    <row r="607" spans="1:7">
      <c r="D607"/>
    </row>
    <row r="608" spans="1:7">
      <c r="B608" s="468" t="s">
        <v>308</v>
      </c>
      <c r="D608" s="1293" t="s">
        <v>1188</v>
      </c>
      <c r="E608" s="1293"/>
      <c r="F608" s="1293"/>
    </row>
    <row r="609" spans="1:7">
      <c r="C609" s="180"/>
      <c r="D609" s="1293"/>
      <c r="E609" s="1293"/>
      <c r="F609" s="1293"/>
    </row>
    <row r="610" spans="1:7">
      <c r="C610" s="180"/>
    </row>
    <row r="611" spans="1:7">
      <c r="B611" s="468" t="s">
        <v>308</v>
      </c>
      <c r="C611" s="180"/>
      <c r="D611" s="1293" t="s">
        <v>1189</v>
      </c>
      <c r="E611" s="1293"/>
      <c r="F611" s="1293"/>
    </row>
    <row r="612" spans="1:7">
      <c r="C612" s="180"/>
      <c r="D612" s="1293"/>
      <c r="E612" s="1293"/>
      <c r="F612" s="1293"/>
    </row>
    <row r="613" spans="1:7">
      <c r="C613" s="180"/>
    </row>
    <row r="614" spans="1:7">
      <c r="A614" s="1283" t="s">
        <v>1084</v>
      </c>
      <c r="B614" s="1283"/>
      <c r="C614" s="1283"/>
      <c r="D614" s="1283"/>
      <c r="E614" s="1283"/>
      <c r="F614" s="1283"/>
      <c r="G614" s="1283"/>
    </row>
    <row r="615" spans="1:7">
      <c r="A615" s="172"/>
      <c r="B615" s="172"/>
      <c r="C615" s="172"/>
    </row>
    <row r="616" spans="1:7">
      <c r="C616" s="13"/>
      <c r="D616" s="1294" t="s">
        <v>1190</v>
      </c>
      <c r="E616" s="1294"/>
      <c r="F616" s="1294"/>
    </row>
    <row r="617" spans="1:7">
      <c r="A617" s="13"/>
      <c r="B617" s="13"/>
      <c r="D617" s="2"/>
    </row>
    <row r="618" spans="1:7" ht="14.4">
      <c r="A618" s="176"/>
      <c r="B618" s="468" t="s">
        <v>308</v>
      </c>
      <c r="D618" s="1295" t="s">
        <v>1191</v>
      </c>
      <c r="E618" s="1295"/>
      <c r="F618" s="1295"/>
    </row>
    <row r="619" spans="1:7">
      <c r="D619" s="1295"/>
      <c r="E619" s="1295"/>
      <c r="F619" s="1295"/>
    </row>
    <row r="620" spans="1:7">
      <c r="D620" s="1295"/>
      <c r="E620" s="1295"/>
      <c r="F620" s="1295"/>
    </row>
    <row r="621" spans="1:7">
      <c r="D621" s="1295"/>
      <c r="E621" s="1295"/>
      <c r="F621" s="1295"/>
    </row>
    <row r="622" spans="1:7">
      <c r="D622" s="1295"/>
      <c r="E622" s="1295"/>
      <c r="F622" s="1295"/>
    </row>
    <row r="623" spans="1:7">
      <c r="D623" s="1295"/>
      <c r="E623" s="1295"/>
      <c r="F623" s="1295"/>
    </row>
    <row r="624" spans="1:7">
      <c r="D624" s="479"/>
      <c r="E624" s="479"/>
      <c r="F624" s="479"/>
    </row>
    <row r="625" spans="1:7" ht="14.4">
      <c r="A625" s="176"/>
      <c r="B625" s="468" t="s">
        <v>308</v>
      </c>
      <c r="D625" s="1295" t="s">
        <v>1192</v>
      </c>
      <c r="E625" s="1295"/>
      <c r="F625" s="1295"/>
    </row>
    <row r="626" spans="1:7">
      <c r="A626" s="179"/>
      <c r="B626" s="179"/>
      <c r="C626" s="179"/>
      <c r="D626" s="1295"/>
      <c r="E626" s="1295"/>
      <c r="F626" s="1295"/>
    </row>
    <row r="627" spans="1:7">
      <c r="A627" s="179"/>
      <c r="B627" s="179"/>
      <c r="C627" s="179"/>
      <c r="D627" s="35"/>
      <c r="E627" s="35"/>
      <c r="F627" s="35"/>
    </row>
    <row r="628" spans="1:7" ht="14.4">
      <c r="A628" s="176"/>
      <c r="B628" s="468" t="s">
        <v>308</v>
      </c>
      <c r="C628" s="179"/>
      <c r="D628" s="1295" t="s">
        <v>1193</v>
      </c>
      <c r="E628" s="1295"/>
      <c r="F628" s="1295"/>
    </row>
    <row r="629" spans="1:7" ht="14.4">
      <c r="A629" s="176"/>
      <c r="B629" s="176"/>
      <c r="C629" s="179"/>
      <c r="D629" s="1295"/>
      <c r="E629" s="1295"/>
      <c r="F629" s="1295"/>
    </row>
    <row r="630" spans="1:7" ht="14.4">
      <c r="A630" s="176"/>
      <c r="B630" s="176"/>
      <c r="C630" s="179"/>
      <c r="D630" s="1295"/>
      <c r="E630" s="1295"/>
      <c r="F630" s="1295"/>
    </row>
    <row r="631" spans="1:7">
      <c r="A631" s="179"/>
      <c r="B631" s="179"/>
      <c r="C631" s="179"/>
      <c r="D631" s="1295"/>
      <c r="E631" s="1295"/>
      <c r="F631" s="1295"/>
    </row>
    <row r="632" spans="1:7">
      <c r="A632" s="179"/>
      <c r="B632" s="179"/>
      <c r="C632" s="179"/>
      <c r="D632" s="479"/>
      <c r="E632" s="479"/>
      <c r="F632" s="479"/>
    </row>
    <row r="633" spans="1:7">
      <c r="A633" s="179"/>
      <c r="B633" s="468" t="s">
        <v>308</v>
      </c>
      <c r="C633" s="179"/>
      <c r="D633" s="1296" t="s">
        <v>1194</v>
      </c>
      <c r="E633" s="1296"/>
      <c r="F633" s="1296"/>
    </row>
    <row r="634" spans="1:7">
      <c r="A634" s="179"/>
      <c r="B634" s="179"/>
      <c r="C634" s="179"/>
      <c r="D634" s="480"/>
      <c r="E634" s="480"/>
      <c r="F634" s="480"/>
    </row>
    <row r="635" spans="1:7">
      <c r="A635" s="1283" t="s">
        <v>1085</v>
      </c>
      <c r="B635" s="1283"/>
      <c r="C635" s="1283"/>
      <c r="D635" s="1283"/>
      <c r="E635" s="1283"/>
      <c r="F635" s="1283"/>
      <c r="G635" s="1283"/>
    </row>
    <row r="636" spans="1:7">
      <c r="A636" s="35"/>
      <c r="B636" s="35"/>
      <c r="C636" s="179"/>
      <c r="D636" s="35"/>
      <c r="E636" s="35"/>
      <c r="F636" s="35"/>
    </row>
    <row r="637" spans="1:7">
      <c r="C637" s="172"/>
      <c r="D637" s="1284" t="s">
        <v>1244</v>
      </c>
      <c r="E637" s="1284"/>
      <c r="F637" s="1284"/>
    </row>
    <row r="638" spans="1:7">
      <c r="A638" s="175"/>
      <c r="B638" s="175"/>
      <c r="C638" s="175"/>
      <c r="D638" s="1279" t="s">
        <v>1245</v>
      </c>
      <c r="E638" s="1279"/>
      <c r="F638" s="1279"/>
    </row>
    <row r="639" spans="1:7">
      <c r="A639" s="175"/>
      <c r="B639" s="175"/>
      <c r="C639" s="175"/>
      <c r="D639" s="118"/>
      <c r="E639" s="118"/>
      <c r="F639" s="118"/>
    </row>
    <row r="640" spans="1:7" ht="14.55" customHeight="1">
      <c r="A640" s="176"/>
      <c r="B640" s="468" t="s">
        <v>308</v>
      </c>
      <c r="C640" s="179"/>
      <c r="D640" s="1268" t="s">
        <v>1246</v>
      </c>
      <c r="E640" s="1268"/>
      <c r="F640" s="1268"/>
    </row>
    <row r="641" spans="1:11" ht="14.4">
      <c r="A641" s="176"/>
      <c r="B641" s="176"/>
      <c r="C641" s="179"/>
      <c r="D641" s="1268"/>
      <c r="E641" s="1268"/>
      <c r="F641" s="1268"/>
    </row>
    <row r="642" spans="1:11" ht="14.4">
      <c r="A642" s="176"/>
      <c r="B642" s="176"/>
      <c r="C642" s="179"/>
      <c r="D642" s="1268"/>
      <c r="E642" s="1268"/>
      <c r="F642" s="1268"/>
    </row>
    <row r="643" spans="1:11" ht="14.4">
      <c r="A643" s="176"/>
      <c r="B643" s="176"/>
      <c r="C643" s="179"/>
      <c r="D643" s="1268"/>
      <c r="E643" s="1268"/>
      <c r="F643" s="1268"/>
    </row>
    <row r="644" spans="1:11" ht="14.4">
      <c r="A644" s="176"/>
      <c r="B644" s="176"/>
      <c r="C644" s="179"/>
      <c r="D644" s="1268"/>
      <c r="E644" s="1268"/>
      <c r="F644" s="1268"/>
    </row>
    <row r="645" spans="1:11" ht="14.4">
      <c r="A645" s="176"/>
      <c r="B645" s="176"/>
      <c r="C645" s="179"/>
      <c r="D645" s="474"/>
      <c r="E645" s="474"/>
      <c r="F645" s="474"/>
    </row>
    <row r="646" spans="1:11" ht="14.4">
      <c r="A646" s="176"/>
      <c r="B646" s="468" t="s">
        <v>308</v>
      </c>
      <c r="C646" s="179"/>
      <c r="D646" s="1307" t="s">
        <v>1096</v>
      </c>
      <c r="E646" s="1307"/>
      <c r="F646" s="1307"/>
    </row>
    <row r="647" spans="1:11" ht="14.4">
      <c r="A647" s="176"/>
      <c r="B647" s="176"/>
      <c r="C647" s="179"/>
      <c r="D647" s="1308" t="s">
        <v>1247</v>
      </c>
      <c r="E647" s="1308"/>
      <c r="F647" s="1308"/>
    </row>
    <row r="648" spans="1:11" ht="14.4">
      <c r="A648" s="176"/>
      <c r="B648" s="176"/>
      <c r="C648" s="179"/>
      <c r="D648" s="1308"/>
      <c r="E648" s="1308"/>
      <c r="F648" s="1308"/>
    </row>
    <row r="649" spans="1:11" ht="14.4">
      <c r="A649" s="176"/>
      <c r="B649" s="176"/>
      <c r="C649" s="179"/>
      <c r="D649" s="1308"/>
      <c r="E649" s="1308"/>
      <c r="F649" s="1308"/>
    </row>
    <row r="650" spans="1:11" ht="14.4">
      <c r="A650" s="176"/>
      <c r="B650" s="176"/>
      <c r="C650" s="179"/>
      <c r="D650" s="1308"/>
      <c r="E650" s="1308"/>
      <c r="F650" s="1308"/>
    </row>
    <row r="651" spans="1:11" ht="14.4">
      <c r="A651" s="176"/>
      <c r="B651" s="176"/>
      <c r="C651" s="179"/>
      <c r="D651" s="1308"/>
      <c r="E651" s="1308"/>
      <c r="F651" s="1308"/>
    </row>
    <row r="652" spans="1:11" ht="14.4">
      <c r="A652" s="176"/>
      <c r="B652" s="176"/>
      <c r="C652" s="179"/>
      <c r="D652" s="1309" t="s">
        <v>1248</v>
      </c>
      <c r="E652" s="1309"/>
      <c r="F652" s="1309"/>
    </row>
    <row r="653" spans="1:11">
      <c r="A653" s="179"/>
      <c r="B653" s="179"/>
      <c r="C653" s="179"/>
      <c r="D653" s="35"/>
      <c r="E653" s="35"/>
      <c r="F653" s="35"/>
    </row>
    <row r="654" spans="1:11">
      <c r="A654" s="1283" t="s">
        <v>1086</v>
      </c>
      <c r="B654" s="1283"/>
      <c r="C654" s="1283"/>
      <c r="D654" s="1283"/>
      <c r="E654" s="1283"/>
      <c r="F654" s="1283"/>
      <c r="G654" s="1283"/>
      <c r="H654" s="181"/>
      <c r="I654" s="181"/>
      <c r="J654" s="181"/>
      <c r="K654" s="181"/>
    </row>
    <row r="655" spans="1:11">
      <c r="A655" s="482"/>
      <c r="B655" s="482"/>
      <c r="C655" s="482"/>
      <c r="D655" s="482"/>
      <c r="E655" s="482"/>
      <c r="F655" s="482"/>
      <c r="G655" s="482"/>
      <c r="H655" s="181"/>
      <c r="I655" s="181"/>
      <c r="J655" s="181"/>
      <c r="K655" s="181"/>
    </row>
    <row r="656" spans="1:11">
      <c r="C656" s="172"/>
      <c r="D656" s="1284" t="s">
        <v>99</v>
      </c>
      <c r="E656" s="1284"/>
      <c r="F656" s="1284"/>
      <c r="H656" s="181"/>
      <c r="I656" s="181"/>
      <c r="J656" s="181"/>
      <c r="K656" s="181"/>
    </row>
    <row r="657" spans="1:11">
      <c r="A657" s="172"/>
      <c r="B657" s="172"/>
      <c r="C657" s="172"/>
      <c r="D657" s="1284" t="s">
        <v>123</v>
      </c>
      <c r="E657" s="1284"/>
      <c r="F657" s="1284"/>
      <c r="H657" s="181"/>
      <c r="I657" s="181"/>
      <c r="J657" s="181"/>
      <c r="K657" s="181"/>
    </row>
    <row r="658" spans="1:11">
      <c r="A658" s="175"/>
      <c r="B658" s="175"/>
      <c r="C658" s="175"/>
      <c r="D658" s="1279" t="s">
        <v>1122</v>
      </c>
      <c r="E658" s="1279"/>
      <c r="F658" s="1279"/>
      <c r="H658" s="181"/>
      <c r="I658" s="181"/>
      <c r="J658" s="181"/>
      <c r="K658" s="181"/>
    </row>
    <row r="659" spans="1:11">
      <c r="A659" s="175"/>
      <c r="B659" s="175"/>
      <c r="C659" s="175"/>
      <c r="H659" s="181"/>
      <c r="I659" s="181"/>
      <c r="J659" s="181"/>
      <c r="K659" s="181"/>
    </row>
    <row r="660" spans="1:11" ht="14.4">
      <c r="A660" s="176"/>
      <c r="B660" s="468" t="s">
        <v>308</v>
      </c>
      <c r="C660" s="175"/>
      <c r="D660" s="1279" t="s">
        <v>897</v>
      </c>
      <c r="E660" s="1279"/>
      <c r="F660" s="1279"/>
      <c r="H660" s="181"/>
      <c r="I660" s="181"/>
      <c r="J660" s="181"/>
      <c r="K660" s="181"/>
    </row>
    <row r="661" spans="1:11">
      <c r="A661" s="175"/>
      <c r="B661" s="175"/>
      <c r="C661" s="175"/>
      <c r="D661" s="1279" t="s">
        <v>907</v>
      </c>
      <c r="E661" s="1279"/>
      <c r="F661" s="1279"/>
      <c r="H661" s="181"/>
      <c r="I661" s="181"/>
      <c r="J661" s="181"/>
      <c r="K661" s="181"/>
    </row>
    <row r="662" spans="1:11">
      <c r="A662" s="175"/>
      <c r="B662" s="175"/>
      <c r="C662" s="175"/>
      <c r="D662" s="3"/>
      <c r="E662" s="1278" t="s">
        <v>1123</v>
      </c>
      <c r="F662" s="1278"/>
      <c r="H662" s="181"/>
      <c r="I662" s="181"/>
      <c r="J662" s="181"/>
      <c r="K662" s="181"/>
    </row>
    <row r="663" spans="1:11">
      <c r="A663" s="175"/>
      <c r="B663" s="175"/>
      <c r="C663" s="175"/>
      <c r="D663" s="3"/>
      <c r="E663" s="1278"/>
      <c r="F663" s="1278"/>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8" t="s">
        <v>1124</v>
      </c>
      <c r="E665" s="1268"/>
      <c r="F665" s="1268"/>
      <c r="H665" s="181"/>
      <c r="I665" s="181"/>
      <c r="J665" s="181"/>
      <c r="K665" s="181"/>
    </row>
    <row r="666" spans="1:11">
      <c r="A666" s="13"/>
      <c r="B666" s="13"/>
      <c r="C666" s="175"/>
      <c r="D666" s="1268"/>
      <c r="E666" s="1268"/>
      <c r="F666" s="1268"/>
      <c r="H666" s="181"/>
      <c r="I666" s="181"/>
      <c r="J666" s="181"/>
      <c r="K666" s="181"/>
    </row>
    <row r="667" spans="1:11">
      <c r="A667" s="175"/>
      <c r="B667" s="175"/>
      <c r="C667" s="175"/>
      <c r="D667" s="1268"/>
      <c r="E667" s="1268"/>
      <c r="F667" s="1268"/>
      <c r="H667" s="181"/>
      <c r="I667" s="181"/>
      <c r="J667" s="181"/>
      <c r="K667" s="181"/>
    </row>
    <row r="668" spans="1:11">
      <c r="A668" s="175"/>
      <c r="B668" s="175"/>
      <c r="C668" s="175"/>
      <c r="H668" s="181"/>
      <c r="I668" s="181"/>
      <c r="J668" s="181"/>
      <c r="K668" s="181"/>
    </row>
    <row r="669" spans="1:11" ht="14.4">
      <c r="A669" s="176"/>
      <c r="B669" s="468" t="s">
        <v>308</v>
      </c>
      <c r="C669" s="175"/>
      <c r="D669" s="1279" t="s">
        <v>935</v>
      </c>
      <c r="E669" s="1279"/>
      <c r="F669" s="1279"/>
      <c r="H669" s="181"/>
      <c r="I669" s="181"/>
      <c r="J669" s="181"/>
      <c r="K669" s="181"/>
    </row>
    <row r="670" spans="1:11" ht="14.4">
      <c r="A670" s="176"/>
      <c r="B670" s="176"/>
      <c r="C670" s="175"/>
      <c r="D670" s="1279" t="s">
        <v>907</v>
      </c>
      <c r="E670" s="1279"/>
      <c r="F670" s="1279"/>
      <c r="H670" s="181"/>
      <c r="I670" s="181"/>
      <c r="J670" s="181"/>
      <c r="K670" s="181"/>
    </row>
    <row r="671" spans="1:11">
      <c r="A671" s="175"/>
      <c r="B671" s="175"/>
      <c r="C671" s="175"/>
      <c r="D671" s="3"/>
      <c r="E671" s="1290" t="s">
        <v>1125</v>
      </c>
      <c r="F671" s="1290"/>
      <c r="H671" s="181"/>
      <c r="I671" s="181"/>
      <c r="J671" s="181"/>
      <c r="K671" s="181"/>
    </row>
    <row r="672" spans="1:11">
      <c r="A672" s="175"/>
      <c r="B672" s="175"/>
      <c r="C672" s="175"/>
      <c r="D672" s="2"/>
      <c r="H672" s="181"/>
      <c r="I672" s="181"/>
      <c r="J672" s="181"/>
      <c r="K672" s="181"/>
    </row>
    <row r="673" spans="1:11" ht="14.4">
      <c r="A673" s="176"/>
      <c r="B673" s="468" t="s">
        <v>308</v>
      </c>
      <c r="C673" s="175"/>
      <c r="D673" s="1268" t="s">
        <v>1135</v>
      </c>
      <c r="E673" s="1268"/>
      <c r="F673" s="1268"/>
      <c r="H673" s="181"/>
      <c r="I673" s="181"/>
      <c r="J673" s="181"/>
      <c r="K673" s="181"/>
    </row>
    <row r="674" spans="1:11">
      <c r="A674" s="175"/>
      <c r="B674" s="175"/>
      <c r="C674" s="175"/>
      <c r="D674" s="1268"/>
      <c r="E674" s="1268"/>
      <c r="F674" s="1268"/>
      <c r="H674" s="181"/>
      <c r="I674" s="181"/>
      <c r="J674" s="181"/>
      <c r="K674" s="181"/>
    </row>
    <row r="675" spans="1:11">
      <c r="A675" s="175"/>
      <c r="B675" s="175"/>
      <c r="C675" s="175"/>
      <c r="D675" s="1268"/>
      <c r="E675" s="1268"/>
      <c r="F675" s="1268"/>
      <c r="H675" s="181"/>
      <c r="I675" s="181"/>
      <c r="J675" s="181"/>
      <c r="K675" s="181"/>
    </row>
    <row r="676" spans="1:11">
      <c r="A676" s="175"/>
      <c r="B676" s="175"/>
      <c r="C676" s="175"/>
      <c r="D676" s="1268"/>
      <c r="E676" s="1268"/>
      <c r="F676" s="1268"/>
      <c r="H676" s="181"/>
      <c r="I676" s="181"/>
      <c r="J676" s="181"/>
      <c r="K676" s="181"/>
    </row>
    <row r="677" spans="1:11">
      <c r="A677" s="175"/>
      <c r="B677" s="175"/>
      <c r="C677" s="175"/>
      <c r="D677" s="1268"/>
      <c r="E677" s="1268"/>
      <c r="F677" s="1268"/>
      <c r="H677" s="181"/>
      <c r="I677" s="181"/>
      <c r="J677" s="181"/>
      <c r="K677" s="181"/>
    </row>
    <row r="678" spans="1:11">
      <c r="A678" s="175"/>
      <c r="B678" s="175"/>
      <c r="C678" s="175"/>
      <c r="D678" s="1268"/>
      <c r="E678" s="1268"/>
      <c r="F678" s="1268"/>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8" t="s">
        <v>1126</v>
      </c>
      <c r="E680" s="1268"/>
      <c r="F680" s="1268"/>
      <c r="H680" s="181"/>
      <c r="I680" s="181"/>
      <c r="J680" s="181"/>
      <c r="K680" s="181"/>
    </row>
    <row r="681" spans="1:11">
      <c r="A681" s="175"/>
      <c r="B681" s="175"/>
      <c r="C681" s="175"/>
      <c r="D681" s="1268"/>
      <c r="E681" s="1268"/>
      <c r="F681" s="1268"/>
      <c r="H681" s="181"/>
      <c r="I681" s="181"/>
      <c r="J681" s="181"/>
      <c r="K681" s="181"/>
    </row>
    <row r="682" spans="1:11">
      <c r="A682" s="175"/>
      <c r="B682" s="175"/>
      <c r="C682" s="175"/>
      <c r="D682" s="1268"/>
      <c r="E682" s="1268"/>
      <c r="F682" s="1268"/>
      <c r="H682" s="181"/>
      <c r="I682" s="181"/>
      <c r="J682" s="181"/>
      <c r="K682" s="181"/>
    </row>
    <row r="683" spans="1:11" ht="15" customHeight="1">
      <c r="A683" s="175"/>
      <c r="B683" s="175"/>
      <c r="C683" s="175"/>
      <c r="D683" s="1268"/>
      <c r="E683" s="1268"/>
      <c r="F683" s="1268"/>
      <c r="H683" s="181"/>
      <c r="I683" s="181"/>
      <c r="J683" s="181"/>
      <c r="K683" s="181"/>
    </row>
    <row r="684" spans="1:11" ht="15" customHeight="1">
      <c r="A684" s="175"/>
      <c r="B684" s="175"/>
      <c r="C684" s="175"/>
      <c r="D684" s="1268"/>
      <c r="E684" s="1268"/>
      <c r="F684" s="1268"/>
      <c r="H684" s="181"/>
      <c r="I684" s="181"/>
      <c r="J684" s="181"/>
      <c r="K684" s="181"/>
    </row>
    <row r="685" spans="1:11">
      <c r="A685" s="175"/>
      <c r="B685" s="175"/>
      <c r="C685" s="175"/>
      <c r="D685" s="1268"/>
      <c r="E685" s="1268"/>
      <c r="F685" s="1268"/>
      <c r="H685" s="181"/>
      <c r="I685" s="181"/>
      <c r="J685" s="181"/>
      <c r="K685" s="181"/>
    </row>
    <row r="686" spans="1:11">
      <c r="A686" s="175"/>
      <c r="B686" s="175"/>
      <c r="C686" s="175"/>
      <c r="D686" s="1268"/>
      <c r="E686" s="1268"/>
      <c r="F686" s="1268"/>
      <c r="H686" s="181"/>
      <c r="I686" s="181"/>
      <c r="J686" s="181"/>
      <c r="K686" s="181"/>
    </row>
    <row r="687" spans="1:11">
      <c r="A687" s="175"/>
      <c r="B687" s="175"/>
      <c r="C687" s="175"/>
      <c r="D687" s="1268"/>
      <c r="E687" s="1268"/>
      <c r="F687" s="1268"/>
      <c r="H687" s="181"/>
      <c r="I687" s="181"/>
      <c r="J687" s="181"/>
      <c r="K687" s="181"/>
    </row>
    <row r="688" spans="1:11" ht="15" customHeight="1">
      <c r="A688" s="175"/>
      <c r="B688" s="175"/>
      <c r="C688" s="175"/>
      <c r="D688" s="1268"/>
      <c r="E688" s="1268"/>
      <c r="F688" s="1268"/>
      <c r="H688" s="181"/>
      <c r="I688" s="181"/>
      <c r="J688" s="181"/>
      <c r="K688" s="181"/>
    </row>
    <row r="689" spans="1:11">
      <c r="A689" s="175"/>
      <c r="B689" s="175"/>
      <c r="C689" s="175"/>
      <c r="D689" s="1268"/>
      <c r="E689" s="1268"/>
      <c r="F689" s="1268"/>
      <c r="H689" s="181"/>
      <c r="I689" s="181"/>
      <c r="J689" s="181"/>
      <c r="K689" s="181"/>
    </row>
    <row r="690" spans="1:11">
      <c r="A690" s="175"/>
      <c r="B690" s="175"/>
      <c r="C690" s="175"/>
      <c r="D690" s="1268"/>
      <c r="E690" s="1268"/>
      <c r="F690" s="1268"/>
      <c r="H690" s="181"/>
      <c r="I690" s="181"/>
      <c r="J690" s="181"/>
      <c r="K690" s="181"/>
    </row>
    <row r="691" spans="1:11">
      <c r="A691" s="175"/>
      <c r="B691" s="175"/>
      <c r="C691" s="175"/>
      <c r="D691" s="1268"/>
      <c r="E691" s="1268"/>
      <c r="F691" s="1268"/>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8" t="s">
        <v>1136</v>
      </c>
      <c r="E693" s="1268"/>
      <c r="F693" s="1268"/>
      <c r="H693" s="181"/>
      <c r="I693" s="181"/>
      <c r="J693" s="181"/>
      <c r="K693" s="181"/>
    </row>
    <row r="694" spans="1:11">
      <c r="A694" s="175"/>
      <c r="B694" s="175"/>
      <c r="C694" s="175"/>
      <c r="D694" s="1268"/>
      <c r="E694" s="1268"/>
      <c r="F694" s="1268"/>
      <c r="H694" s="181"/>
      <c r="I694" s="181"/>
      <c r="J694" s="181"/>
      <c r="K694" s="181"/>
    </row>
    <row r="695" spans="1:11">
      <c r="A695" s="175"/>
      <c r="B695" s="175"/>
      <c r="C695" s="175"/>
      <c r="D695" s="1268"/>
      <c r="E695" s="1268"/>
      <c r="F695" s="1268"/>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8" t="s">
        <v>1133</v>
      </c>
      <c r="E697" s="1268"/>
      <c r="F697" s="1268"/>
      <c r="H697" s="181"/>
      <c r="I697" s="181"/>
      <c r="J697" s="181"/>
      <c r="K697" s="181"/>
    </row>
    <row r="698" spans="1:11">
      <c r="A698" s="175"/>
      <c r="B698" s="175"/>
      <c r="C698" s="175"/>
      <c r="D698" s="1268"/>
      <c r="E698" s="1268"/>
      <c r="F698" s="1268"/>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8" t="s">
        <v>1134</v>
      </c>
      <c r="E700" s="1268"/>
      <c r="F700" s="1268"/>
      <c r="H700" s="181"/>
      <c r="I700" s="181"/>
      <c r="J700" s="181"/>
      <c r="K700" s="181"/>
    </row>
    <row r="701" spans="1:11">
      <c r="A701" s="175"/>
      <c r="B701" s="175"/>
      <c r="C701" s="175"/>
      <c r="D701" s="1268"/>
      <c r="E701" s="1268"/>
      <c r="F701" s="1268"/>
      <c r="H701" s="181"/>
      <c r="I701" s="181"/>
      <c r="J701" s="181"/>
      <c r="K701" s="181"/>
    </row>
    <row r="702" spans="1:11">
      <c r="A702" s="175"/>
      <c r="B702" s="175"/>
      <c r="C702" s="175"/>
      <c r="D702" s="1268"/>
      <c r="E702" s="1268"/>
      <c r="F702" s="1268"/>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8" t="s">
        <v>1127</v>
      </c>
      <c r="E704" s="1268"/>
      <c r="F704" s="1268"/>
      <c r="H704" s="181"/>
      <c r="I704" s="181"/>
      <c r="J704" s="181"/>
      <c r="K704" s="181"/>
    </row>
    <row r="705" spans="1:11">
      <c r="A705" s="175"/>
      <c r="B705" s="175"/>
      <c r="C705" s="175"/>
      <c r="D705" s="1268"/>
      <c r="E705" s="1268"/>
      <c r="F705" s="1268"/>
      <c r="H705" s="181"/>
      <c r="I705" s="181"/>
      <c r="J705" s="181"/>
      <c r="K705" s="181"/>
    </row>
    <row r="706" spans="1:11">
      <c r="A706" s="175"/>
      <c r="B706" s="175"/>
      <c r="C706" s="175"/>
      <c r="D706" s="1268"/>
      <c r="E706" s="1268"/>
      <c r="F706" s="1268"/>
      <c r="H706" s="181"/>
      <c r="I706" s="181"/>
      <c r="J706" s="181"/>
      <c r="K706" s="181"/>
    </row>
    <row r="707" spans="1:11">
      <c r="A707" s="175"/>
      <c r="B707" s="175"/>
      <c r="C707" s="175"/>
      <c r="H707" s="181"/>
      <c r="I707" s="181"/>
      <c r="J707" s="181"/>
      <c r="K707" s="181"/>
    </row>
    <row r="708" spans="1:11">
      <c r="A708" s="175"/>
      <c r="B708" s="468" t="s">
        <v>308</v>
      </c>
      <c r="C708" s="175"/>
      <c r="D708" s="1268" t="s">
        <v>1128</v>
      </c>
      <c r="E708" s="1268"/>
      <c r="F708" s="1268"/>
      <c r="H708" s="181"/>
      <c r="I708" s="181"/>
      <c r="J708" s="181"/>
      <c r="K708" s="181"/>
    </row>
    <row r="709" spans="1:11">
      <c r="A709" s="175"/>
      <c r="B709" s="175"/>
      <c r="C709" s="175"/>
      <c r="D709" s="1268"/>
      <c r="E709" s="1268"/>
      <c r="F709" s="1268"/>
      <c r="H709" s="181"/>
      <c r="I709" s="181"/>
      <c r="J709" s="181"/>
      <c r="K709" s="181"/>
    </row>
    <row r="710" spans="1:11">
      <c r="A710" s="175"/>
      <c r="B710" s="175"/>
      <c r="C710" s="175"/>
      <c r="D710" s="1268"/>
      <c r="E710" s="1268"/>
      <c r="F710" s="1268"/>
      <c r="H710" s="181"/>
      <c r="I710" s="181"/>
      <c r="J710" s="181"/>
      <c r="K710" s="181"/>
    </row>
    <row r="711" spans="1:11">
      <c r="A711" s="175"/>
      <c r="B711" s="175"/>
      <c r="C711" s="175"/>
      <c r="D711"/>
      <c r="H711" s="181"/>
      <c r="I711" s="181"/>
      <c r="J711" s="181"/>
      <c r="K711" s="181"/>
    </row>
    <row r="712" spans="1:11" ht="14.4">
      <c r="A712" s="176"/>
      <c r="B712" s="468" t="s">
        <v>308</v>
      </c>
      <c r="C712" s="175"/>
      <c r="D712" s="1268" t="s">
        <v>1129</v>
      </c>
      <c r="E712" s="1268"/>
      <c r="F712" s="1268"/>
      <c r="H712" s="181"/>
      <c r="I712" s="181"/>
      <c r="J712" s="181"/>
      <c r="K712" s="181"/>
    </row>
    <row r="713" spans="1:11">
      <c r="A713" s="175"/>
      <c r="B713" s="175"/>
      <c r="C713" s="175"/>
      <c r="D713" s="1268"/>
      <c r="E713" s="1268"/>
      <c r="F713" s="1268"/>
      <c r="H713" s="181"/>
      <c r="I713" s="181"/>
      <c r="J713" s="181"/>
      <c r="K713" s="181"/>
    </row>
    <row r="714" spans="1:11">
      <c r="A714" s="175"/>
      <c r="B714" s="175"/>
      <c r="C714" s="175"/>
      <c r="D714" s="1268"/>
      <c r="E714" s="1268"/>
      <c r="F714" s="1268"/>
      <c r="H714" s="181"/>
      <c r="I714" s="181"/>
      <c r="J714" s="181"/>
      <c r="K714" s="181"/>
    </row>
    <row r="715" spans="1:11">
      <c r="A715" s="175"/>
      <c r="B715" s="175"/>
      <c r="C715" s="175"/>
      <c r="D715" s="1268"/>
      <c r="E715" s="1268"/>
      <c r="F715" s="1268"/>
      <c r="H715" s="181"/>
      <c r="I715" s="181"/>
      <c r="J715" s="181"/>
      <c r="K715" s="181"/>
    </row>
    <row r="716" spans="1:11">
      <c r="A716" s="175"/>
      <c r="B716" s="175"/>
      <c r="C716" s="175"/>
      <c r="D716" s="178"/>
      <c r="H716" s="181"/>
      <c r="I716" s="181"/>
      <c r="J716" s="181"/>
      <c r="K716" s="181"/>
    </row>
    <row r="717" spans="1:11" ht="14.4">
      <c r="A717" s="176"/>
      <c r="B717" s="468" t="s">
        <v>308</v>
      </c>
      <c r="C717" s="175"/>
      <c r="D717" s="1268" t="s">
        <v>1262</v>
      </c>
      <c r="E717" s="1268"/>
      <c r="F717" s="1268"/>
      <c r="H717" s="181"/>
      <c r="I717" s="181"/>
      <c r="J717" s="181"/>
      <c r="K717" s="181"/>
    </row>
    <row r="718" spans="1:11">
      <c r="A718" s="175"/>
      <c r="B718" s="175"/>
      <c r="C718" s="175"/>
      <c r="D718" s="1268"/>
      <c r="E718" s="1268"/>
      <c r="F718" s="1268"/>
      <c r="H718" s="181"/>
      <c r="I718" s="181"/>
      <c r="J718" s="181"/>
      <c r="K718" s="181"/>
    </row>
    <row r="719" spans="1:11">
      <c r="A719" s="175"/>
      <c r="B719" s="175"/>
      <c r="C719" s="175"/>
      <c r="D719" s="1268"/>
      <c r="E719" s="1268"/>
      <c r="F719" s="1268"/>
      <c r="H719" s="181"/>
      <c r="I719" s="181"/>
      <c r="J719" s="181"/>
      <c r="K719" s="181"/>
    </row>
    <row r="720" spans="1:11">
      <c r="A720" s="175"/>
      <c r="B720" s="175"/>
      <c r="C720" s="175"/>
      <c r="D720" s="1268"/>
      <c r="E720" s="1268"/>
      <c r="F720" s="1268"/>
      <c r="H720" s="181"/>
      <c r="I720" s="181"/>
      <c r="J720" s="181"/>
      <c r="K720" s="181"/>
    </row>
    <row r="721" spans="1:11">
      <c r="A721" s="175"/>
      <c r="B721" s="175"/>
      <c r="C721" s="175"/>
      <c r="D721" s="1268"/>
      <c r="E721" s="1268"/>
      <c r="F721" s="1268"/>
      <c r="H721" s="181"/>
      <c r="I721" s="181"/>
      <c r="J721" s="181"/>
      <c r="K721" s="181"/>
    </row>
    <row r="722" spans="1:11">
      <c r="A722" s="175"/>
      <c r="B722" s="175"/>
      <c r="C722" s="175"/>
      <c r="D722" s="1268"/>
      <c r="E722" s="1268"/>
      <c r="F722" s="1268"/>
      <c r="H722" s="181"/>
      <c r="I722" s="181"/>
      <c r="J722" s="181"/>
      <c r="K722" s="181"/>
    </row>
    <row r="723" spans="1:11">
      <c r="A723" s="175"/>
      <c r="B723" s="175"/>
      <c r="C723" s="175"/>
      <c r="D723" s="1268"/>
      <c r="E723" s="1268"/>
      <c r="F723" s="1268"/>
      <c r="H723" s="181"/>
      <c r="I723" s="181"/>
      <c r="J723" s="181"/>
      <c r="K723" s="181"/>
    </row>
    <row r="724" spans="1:11">
      <c r="A724" s="175"/>
      <c r="B724" s="175"/>
      <c r="C724" s="175"/>
      <c r="D724" s="1312" t="s">
        <v>1130</v>
      </c>
      <c r="E724" s="1312"/>
      <c r="F724" s="1312"/>
      <c r="H724" s="181"/>
      <c r="I724" s="181"/>
      <c r="J724" s="181"/>
      <c r="K724" s="181"/>
    </row>
    <row r="725" spans="1:11">
      <c r="A725" s="175"/>
      <c r="B725" s="175"/>
      <c r="C725" s="175"/>
      <c r="D725" s="369"/>
      <c r="H725" s="181"/>
      <c r="I725" s="181"/>
      <c r="J725" s="181"/>
      <c r="K725" s="181"/>
    </row>
    <row r="726" spans="1:11">
      <c r="A726" s="1314" t="s">
        <v>1087</v>
      </c>
      <c r="B726" s="1314"/>
      <c r="C726" s="1314"/>
      <c r="D726" s="1314"/>
      <c r="E726" s="1314"/>
      <c r="F726" s="1314"/>
      <c r="G726" s="1314"/>
      <c r="H726" s="181"/>
      <c r="I726" s="181"/>
      <c r="J726" s="181"/>
      <c r="K726" s="181"/>
    </row>
    <row r="727" spans="1:11">
      <c r="A727" s="175"/>
      <c r="B727" s="175"/>
      <c r="C727" s="175"/>
      <c r="D727" s="178"/>
      <c r="G727" s="183"/>
      <c r="H727" s="181"/>
      <c r="I727" s="181"/>
      <c r="J727" s="181"/>
      <c r="K727" s="181"/>
    </row>
    <row r="728" spans="1:11" ht="13.2" customHeight="1">
      <c r="C728" s="175"/>
      <c r="D728" s="1301" t="s">
        <v>1103</v>
      </c>
      <c r="E728" s="1301"/>
      <c r="F728" s="1301"/>
      <c r="G728" s="183"/>
      <c r="H728" s="181"/>
      <c r="I728" s="181"/>
      <c r="J728" s="181"/>
      <c r="K728" s="181"/>
    </row>
    <row r="729" spans="1:11">
      <c r="A729" s="175"/>
      <c r="B729" s="175"/>
      <c r="C729" s="175"/>
      <c r="D729" s="1311" t="s">
        <v>1104</v>
      </c>
      <c r="E729" s="1311"/>
      <c r="F729" s="1311"/>
      <c r="G729" s="183"/>
      <c r="H729" s="181"/>
      <c r="I729" s="181"/>
      <c r="J729" s="181"/>
      <c r="K729" s="181"/>
    </row>
    <row r="730" spans="1:11">
      <c r="A730" s="175"/>
      <c r="B730" s="175"/>
      <c r="C730" s="175"/>
      <c r="G730" s="183"/>
      <c r="H730" s="181"/>
      <c r="I730" s="181"/>
      <c r="J730" s="181"/>
      <c r="K730" s="181"/>
    </row>
    <row r="731" spans="1:11" ht="14.4">
      <c r="A731" s="176"/>
      <c r="B731" s="468" t="s">
        <v>308</v>
      </c>
      <c r="D731" s="1268" t="s">
        <v>1105</v>
      </c>
      <c r="E731" s="1268"/>
      <c r="F731" s="1268"/>
      <c r="G731" s="183"/>
      <c r="H731" s="181"/>
      <c r="I731" s="181"/>
      <c r="J731" s="181"/>
      <c r="K731" s="181"/>
    </row>
    <row r="732" spans="1:11" ht="10.5" customHeight="1">
      <c r="D732" s="1268"/>
      <c r="E732" s="1268"/>
      <c r="F732" s="1268"/>
      <c r="G732" s="183"/>
      <c r="H732" s="181"/>
      <c r="I732" s="181"/>
      <c r="J732" s="181"/>
      <c r="K732" s="181"/>
    </row>
    <row r="733" spans="1:11">
      <c r="D733" s="1268"/>
      <c r="E733" s="1268"/>
      <c r="F733" s="1268"/>
      <c r="G733" s="183"/>
      <c r="H733" s="181"/>
      <c r="I733" s="181"/>
      <c r="J733" s="181"/>
      <c r="K733" s="181"/>
    </row>
    <row r="734" spans="1:11">
      <c r="D734" s="1268"/>
      <c r="E734" s="1268"/>
      <c r="F734" s="1268"/>
      <c r="G734" s="183"/>
      <c r="H734" s="181"/>
      <c r="I734" s="181"/>
      <c r="J734" s="181"/>
      <c r="K734" s="181"/>
    </row>
    <row r="735" spans="1:11">
      <c r="D735" s="1268"/>
      <c r="E735" s="1268"/>
      <c r="F735" s="1268"/>
      <c r="G735" s="183"/>
      <c r="H735" s="181"/>
      <c r="I735" s="181"/>
      <c r="J735" s="181"/>
      <c r="K735" s="181"/>
    </row>
    <row r="736" spans="1:11" ht="15.45" customHeight="1">
      <c r="D736" s="1268"/>
      <c r="E736" s="1268"/>
      <c r="F736" s="1268"/>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8" t="s">
        <v>1106</v>
      </c>
      <c r="E738" s="1268"/>
      <c r="F738" s="1268"/>
      <c r="G738" s="210"/>
    </row>
    <row r="739" spans="1:11" s="274" customFormat="1">
      <c r="A739" s="273"/>
      <c r="B739" s="273"/>
      <c r="C739" s="273"/>
      <c r="D739" s="1268"/>
      <c r="E739" s="1268"/>
      <c r="F739" s="1268"/>
      <c r="G739" s="210"/>
    </row>
    <row r="740" spans="1:11" s="274" customFormat="1">
      <c r="A740" s="273"/>
      <c r="B740" s="273"/>
      <c r="C740" s="273"/>
      <c r="D740" s="1268"/>
      <c r="E740" s="1268"/>
      <c r="F740" s="1268"/>
      <c r="G740" s="210"/>
    </row>
    <row r="741" spans="1:11" s="274" customFormat="1">
      <c r="A741" s="273"/>
      <c r="B741" s="273"/>
      <c r="C741" s="273"/>
      <c r="D741" s="1268"/>
      <c r="E741" s="1268"/>
      <c r="F741" s="1268"/>
      <c r="G741" s="210"/>
    </row>
    <row r="742" spans="1:11" s="274" customFormat="1">
      <c r="A742" s="273"/>
      <c r="B742" s="273"/>
      <c r="C742" s="273"/>
      <c r="D742" s="255"/>
      <c r="E742" s="210"/>
      <c r="F742" s="210"/>
      <c r="G742" s="210"/>
    </row>
    <row r="743" spans="1:11" s="274" customFormat="1" ht="14.4">
      <c r="A743" s="176"/>
      <c r="B743" s="468" t="s">
        <v>308</v>
      </c>
      <c r="C743" s="273"/>
      <c r="D743" s="1308" t="s">
        <v>1107</v>
      </c>
      <c r="E743" s="1308"/>
      <c r="F743" s="1308"/>
      <c r="G743" s="210"/>
    </row>
    <row r="744" spans="1:11" s="274" customFormat="1">
      <c r="A744" s="273"/>
      <c r="B744" s="273"/>
      <c r="C744" s="273"/>
      <c r="D744" s="1308"/>
      <c r="E744" s="1308"/>
      <c r="F744" s="1308"/>
      <c r="G744" s="210"/>
    </row>
    <row r="745" spans="1:11" s="274" customFormat="1">
      <c r="A745" s="273"/>
      <c r="B745" s="273"/>
      <c r="C745" s="273"/>
      <c r="D745" s="1308"/>
      <c r="E745" s="1308"/>
      <c r="F745" s="1308"/>
      <c r="G745" s="210"/>
    </row>
    <row r="746" spans="1:11">
      <c r="D746" s="255"/>
      <c r="E746" s="35"/>
      <c r="F746" s="35"/>
      <c r="G746" s="183"/>
      <c r="H746" s="181"/>
      <c r="I746" s="181"/>
      <c r="J746" s="181"/>
      <c r="K746" s="181"/>
    </row>
    <row r="747" spans="1:11" ht="14.4">
      <c r="A747" s="176"/>
      <c r="B747" s="468" t="s">
        <v>308</v>
      </c>
      <c r="D747" s="1268" t="s">
        <v>1108</v>
      </c>
      <c r="E747" s="1268"/>
      <c r="F747" s="1268"/>
      <c r="G747" s="183"/>
      <c r="H747" s="181"/>
      <c r="I747" s="181"/>
      <c r="J747" s="181"/>
      <c r="K747" s="181"/>
    </row>
    <row r="748" spans="1:11">
      <c r="D748" s="1268"/>
      <c r="E748" s="1268"/>
      <c r="F748" s="1268"/>
      <c r="G748" s="183"/>
      <c r="H748" s="181"/>
      <c r="I748" s="181"/>
      <c r="J748" s="181"/>
      <c r="K748" s="181"/>
    </row>
    <row r="749" spans="1:11">
      <c r="D749" s="474"/>
      <c r="E749" s="474"/>
      <c r="F749" s="474"/>
      <c r="G749" s="183"/>
      <c r="H749" s="181"/>
      <c r="I749" s="181"/>
      <c r="J749" s="181"/>
      <c r="K749" s="181"/>
    </row>
    <row r="750" spans="1:11">
      <c r="B750" s="468" t="s">
        <v>308</v>
      </c>
      <c r="D750" s="1268" t="s">
        <v>1109</v>
      </c>
      <c r="E750" s="1268"/>
      <c r="F750" s="1268"/>
      <c r="G750" s="183"/>
      <c r="H750" s="181"/>
      <c r="I750" s="181"/>
      <c r="J750" s="181"/>
      <c r="K750" s="181"/>
    </row>
    <row r="751" spans="1:11">
      <c r="D751" s="1268"/>
      <c r="E751" s="1268"/>
      <c r="F751" s="1268"/>
      <c r="G751" s="183"/>
      <c r="H751" s="181"/>
      <c r="I751" s="181"/>
      <c r="J751" s="181"/>
      <c r="K751" s="181"/>
    </row>
    <row r="752" spans="1:11">
      <c r="D752" s="1268"/>
      <c r="E752" s="1268"/>
      <c r="F752" s="1268"/>
      <c r="G752" s="183"/>
      <c r="H752" s="181"/>
      <c r="I752" s="181"/>
      <c r="J752" s="181"/>
      <c r="K752" s="181"/>
    </row>
    <row r="753" spans="1:11">
      <c r="D753" s="474"/>
      <c r="E753" s="474"/>
      <c r="F753" s="474"/>
      <c r="G753" s="183"/>
      <c r="H753" s="181"/>
      <c r="I753" s="181"/>
      <c r="J753" s="181"/>
      <c r="K753" s="181"/>
    </row>
    <row r="754" spans="1:11">
      <c r="A754" s="1283" t="s">
        <v>1110</v>
      </c>
      <c r="B754" s="1283"/>
      <c r="C754" s="1283"/>
      <c r="D754" s="1283"/>
      <c r="E754" s="1283"/>
      <c r="F754" s="1283"/>
      <c r="G754" s="1283"/>
    </row>
    <row r="755" spans="1:11">
      <c r="A755" s="175"/>
      <c r="B755" s="175"/>
      <c r="C755" s="175"/>
      <c r="D755" s="184"/>
      <c r="F755" s="35"/>
      <c r="G755" s="183"/>
    </row>
    <row r="756" spans="1:11">
      <c r="D756" s="1315" t="s">
        <v>1094</v>
      </c>
      <c r="E756" s="1315"/>
      <c r="F756" s="1315"/>
      <c r="G756" s="183"/>
    </row>
    <row r="757" spans="1:11">
      <c r="A757" s="345"/>
      <c r="B757" s="345"/>
      <c r="C757" s="345"/>
      <c r="D757" s="1298" t="s">
        <v>1111</v>
      </c>
      <c r="E757" s="1298"/>
      <c r="F757" s="1298"/>
      <c r="G757" s="183"/>
    </row>
    <row r="758" spans="1:11">
      <c r="D758" s="433"/>
      <c r="E758" s="433"/>
      <c r="F758" s="433"/>
      <c r="G758" s="183"/>
    </row>
    <row r="759" spans="1:11" ht="14.4">
      <c r="A759" s="176"/>
      <c r="B759" s="468" t="s">
        <v>308</v>
      </c>
      <c r="D759" s="1298" t="s">
        <v>1004</v>
      </c>
      <c r="E759" s="1298"/>
      <c r="F759" s="1298"/>
      <c r="G759" s="183"/>
    </row>
    <row r="760" spans="1:11">
      <c r="D760" s="433"/>
      <c r="E760" s="1310" t="s">
        <v>1095</v>
      </c>
      <c r="F760" s="1310"/>
      <c r="G760" s="183"/>
    </row>
    <row r="761" spans="1:11">
      <c r="A761" s="172"/>
      <c r="B761" s="172"/>
      <c r="C761" s="172"/>
      <c r="D761" s="35"/>
      <c r="G761" s="183"/>
    </row>
    <row r="762" spans="1:11">
      <c r="A762" s="1313" t="s">
        <v>449</v>
      </c>
      <c r="B762" s="1313"/>
      <c r="C762" s="1313"/>
      <c r="D762" s="1313"/>
      <c r="E762" s="1313"/>
      <c r="F762" s="1313"/>
      <c r="G762" s="1313"/>
    </row>
    <row r="763" spans="1:11">
      <c r="A763" s="172"/>
      <c r="B763" s="172"/>
      <c r="C763" s="179"/>
      <c r="D763" s="183"/>
      <c r="E763" s="183"/>
      <c r="F763" s="183"/>
      <c r="G763" s="183"/>
    </row>
    <row r="764" spans="1:11">
      <c r="A764" s="35"/>
      <c r="B764" s="1311" t="s">
        <v>1003</v>
      </c>
      <c r="C764" s="1311"/>
      <c r="D764" s="1311"/>
      <c r="E764" s="1311"/>
      <c r="F764" s="1311"/>
      <c r="G764" s="183"/>
    </row>
    <row r="765" spans="1:11">
      <c r="A765" s="13"/>
      <c r="B765" s="13"/>
      <c r="G765" s="183"/>
    </row>
    <row r="766" spans="1:11">
      <c r="A766" s="1313" t="s">
        <v>450</v>
      </c>
      <c r="B766" s="1313"/>
      <c r="C766" s="1313"/>
      <c r="D766" s="1313"/>
      <c r="E766" s="1313"/>
      <c r="F766" s="1313"/>
      <c r="G766" s="1313"/>
    </row>
    <row r="767" spans="1:11">
      <c r="A767" s="172"/>
      <c r="B767" s="172"/>
      <c r="C767" s="172"/>
      <c r="D767" s="178"/>
      <c r="G767" s="183"/>
    </row>
    <row r="768" spans="1:11">
      <c r="A768" s="35"/>
      <c r="B768" s="1279" t="s">
        <v>448</v>
      </c>
      <c r="C768" s="1279"/>
      <c r="D768" s="1279"/>
      <c r="E768" s="1279"/>
      <c r="F768" s="1279"/>
      <c r="G768" s="183"/>
    </row>
    <row r="769" spans="1:7" ht="14.4">
      <c r="A769" s="176"/>
      <c r="B769" s="176"/>
      <c r="D769" s="35"/>
      <c r="E769" s="35"/>
      <c r="F769" s="183"/>
      <c r="G769" s="183"/>
    </row>
    <row r="770" spans="1:7">
      <c r="A770" s="1313" t="s">
        <v>451</v>
      </c>
      <c r="B770" s="1313"/>
      <c r="C770" s="1313"/>
      <c r="D770" s="1313"/>
      <c r="E770" s="1313"/>
      <c r="F770" s="1313"/>
      <c r="G770" s="1313"/>
    </row>
    <row r="771" spans="1:7">
      <c r="C771" s="175"/>
      <c r="D771" s="173"/>
      <c r="E771" s="35"/>
      <c r="F771" s="183"/>
      <c r="G771" s="183"/>
    </row>
    <row r="772" spans="1:7">
      <c r="A772" s="35"/>
      <c r="B772" s="1279" t="s">
        <v>448</v>
      </c>
      <c r="C772" s="1279"/>
      <c r="D772" s="1279"/>
      <c r="E772" s="1279"/>
      <c r="F772" s="1279"/>
      <c r="G772" s="183"/>
    </row>
    <row r="773" spans="1:7">
      <c r="A773" s="35"/>
      <c r="B773" s="35"/>
      <c r="C773" s="179"/>
      <c r="D773" s="183"/>
      <c r="E773" s="183"/>
      <c r="F773" s="183"/>
      <c r="G773" s="183"/>
    </row>
    <row r="774" spans="1:7">
      <c r="A774" s="1313" t="s">
        <v>452</v>
      </c>
      <c r="B774" s="1313"/>
      <c r="C774" s="1313"/>
      <c r="D774" s="1313"/>
      <c r="E774" s="1313"/>
      <c r="F774" s="1313"/>
      <c r="G774" s="1313"/>
    </row>
    <row r="775" spans="1:7">
      <c r="A775" s="35"/>
      <c r="B775" s="35"/>
    </row>
    <row r="776" spans="1:7">
      <c r="A776" s="35"/>
      <c r="B776" s="1279" t="s">
        <v>448</v>
      </c>
      <c r="C776" s="1279"/>
      <c r="D776" s="1279"/>
      <c r="E776" s="1279"/>
      <c r="F776" s="1279"/>
    </row>
    <row r="777" spans="1:7">
      <c r="A777" s="179"/>
      <c r="B777" s="179"/>
      <c r="C777" s="179"/>
      <c r="D777" s="174"/>
      <c r="F777" s="183"/>
    </row>
    <row r="778" spans="1:7">
      <c r="A778" s="1313" t="s">
        <v>453</v>
      </c>
      <c r="B778" s="1313"/>
      <c r="C778" s="1313"/>
      <c r="D778" s="1313"/>
      <c r="E778" s="1313"/>
      <c r="F778" s="1313"/>
      <c r="G778" s="1313"/>
    </row>
    <row r="779" spans="1:7">
      <c r="A779" s="35"/>
      <c r="B779" s="35"/>
    </row>
    <row r="780" spans="1:7">
      <c r="A780" s="35"/>
      <c r="B780" s="1279" t="s">
        <v>448</v>
      </c>
      <c r="C780" s="1279"/>
      <c r="D780" s="1279"/>
      <c r="E780" s="1279"/>
      <c r="F780" s="1279"/>
    </row>
    <row r="781" spans="1:7">
      <c r="A781" s="179"/>
      <c r="B781" s="179"/>
      <c r="C781" s="179"/>
      <c r="D781" s="174"/>
      <c r="F781" s="183"/>
    </row>
    <row r="782" spans="1:7">
      <c r="A782" s="1313" t="s">
        <v>454</v>
      </c>
      <c r="B782" s="1313"/>
      <c r="C782" s="1313"/>
      <c r="D782" s="1313"/>
      <c r="E782" s="1313"/>
      <c r="F782" s="1313"/>
      <c r="G782" s="1313"/>
    </row>
    <row r="783" spans="1:7">
      <c r="A783" s="35"/>
      <c r="B783" s="35"/>
    </row>
    <row r="784" spans="1:7">
      <c r="A784" s="35"/>
      <c r="B784" s="1279" t="s">
        <v>448</v>
      </c>
      <c r="C784" s="1279"/>
      <c r="D784" s="1279"/>
      <c r="E784" s="1279"/>
      <c r="F784" s="1279"/>
    </row>
    <row r="785" spans="1:7">
      <c r="D785" s="174"/>
    </row>
    <row r="786" spans="1:7">
      <c r="A786" s="1313" t="s">
        <v>187</v>
      </c>
      <c r="B786" s="1313"/>
      <c r="C786" s="1313"/>
      <c r="D786" s="1313"/>
      <c r="E786" s="1313"/>
      <c r="F786" s="1313"/>
      <c r="G786" s="1313"/>
    </row>
    <row r="787" spans="1:7">
      <c r="A787" s="35"/>
      <c r="B787" s="35"/>
    </row>
    <row r="788" spans="1:7">
      <c r="A788" s="35"/>
      <c r="B788" s="1279" t="s">
        <v>448</v>
      </c>
      <c r="C788" s="1279"/>
      <c r="D788" s="1279"/>
      <c r="E788" s="1279"/>
      <c r="F788" s="1279"/>
    </row>
    <row r="789" spans="1:7">
      <c r="A789" s="35"/>
      <c r="B789" s="35"/>
      <c r="D789" s="174"/>
    </row>
    <row r="790" spans="1:7">
      <c r="A790" s="1313" t="s">
        <v>884</v>
      </c>
      <c r="B790" s="1313"/>
      <c r="C790" s="1313"/>
      <c r="D790" s="1313"/>
      <c r="E790" s="1313"/>
      <c r="F790" s="1313"/>
      <c r="G790" s="1313"/>
    </row>
    <row r="791" spans="1:7">
      <c r="A791" s="35"/>
      <c r="B791" s="35"/>
    </row>
    <row r="792" spans="1:7">
      <c r="A792" s="35"/>
      <c r="B792" s="1279" t="s">
        <v>448</v>
      </c>
      <c r="C792" s="1279"/>
      <c r="D792" s="1279"/>
      <c r="E792" s="1279"/>
      <c r="F792" s="1279"/>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433" customWidth="1"/>
    <col min="11" max="16384" width="8.77734375" style="433" hidden="1"/>
  </cols>
  <sheetData>
    <row r="1" spans="1:10" ht="14.25" customHeight="1"/>
    <row r="2" spans="1:10" ht="15.6">
      <c r="A2" s="1319" t="s">
        <v>2057</v>
      </c>
      <c r="B2" s="1320"/>
      <c r="C2" s="1320"/>
      <c r="D2" s="1320"/>
      <c r="E2" s="1320"/>
      <c r="F2" s="1320"/>
      <c r="G2" s="1320"/>
      <c r="H2" s="1320"/>
      <c r="I2" s="1320"/>
      <c r="J2" s="1320"/>
    </row>
    <row r="3" spans="1:10" ht="15">
      <c r="A3" s="1323" t="s">
        <v>1375</v>
      </c>
      <c r="B3" s="1324"/>
      <c r="C3" s="1324"/>
      <c r="D3" s="1324"/>
      <c r="E3" s="1324"/>
      <c r="F3" s="1324"/>
      <c r="G3" s="1324"/>
      <c r="H3" s="1324"/>
      <c r="I3" s="1324"/>
      <c r="J3" s="1324"/>
    </row>
    <row r="4" spans="1:10" ht="13.2"/>
    <row r="5" spans="1:10" ht="12.75" customHeight="1">
      <c r="A5" s="1321" t="s">
        <v>2355</v>
      </c>
      <c r="B5" s="1321"/>
      <c r="C5" s="1321"/>
      <c r="D5" s="1321"/>
      <c r="E5" s="1321"/>
      <c r="F5" s="1321"/>
      <c r="G5" s="1321"/>
      <c r="H5" s="1321"/>
      <c r="I5" s="1321"/>
      <c r="J5" s="1321"/>
    </row>
    <row r="6" spans="1:10" ht="13.2">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ht="13.2">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3.2"/>
    <row r="11" spans="1:10" ht="12.75" customHeight="1">
      <c r="A11" s="1325" t="s">
        <v>2062</v>
      </c>
      <c r="B11" s="1325"/>
      <c r="C11" s="1325"/>
      <c r="D11" s="1325"/>
      <c r="E11" s="1325"/>
      <c r="F11" s="1325"/>
      <c r="G11" s="1325"/>
      <c r="H11" s="1325"/>
      <c r="I11" s="1325"/>
      <c r="J11" s="1325"/>
    </row>
    <row r="12" spans="1:10" ht="13.2">
      <c r="A12" s="1325"/>
      <c r="B12" s="1325"/>
      <c r="C12" s="1325"/>
      <c r="D12" s="1325"/>
      <c r="E12" s="1325"/>
      <c r="F12" s="1325"/>
      <c r="G12" s="1325"/>
      <c r="H12" s="1325"/>
      <c r="I12" s="1325"/>
      <c r="J12" s="1325"/>
    </row>
    <row r="13" spans="1:10" ht="13.2">
      <c r="A13" s="1325"/>
      <c r="B13" s="1325"/>
      <c r="C13" s="1325"/>
      <c r="D13" s="1325"/>
      <c r="E13" s="1325"/>
      <c r="F13" s="1325"/>
      <c r="G13" s="1325"/>
      <c r="H13" s="1325"/>
      <c r="I13" s="1325"/>
      <c r="J13" s="1325"/>
    </row>
    <row r="14" spans="1:10" ht="13.2">
      <c r="A14" s="1325"/>
      <c r="B14" s="1325"/>
      <c r="C14" s="1325"/>
      <c r="D14" s="1325"/>
      <c r="E14" s="1325"/>
      <c r="F14" s="1325"/>
      <c r="G14" s="1325"/>
      <c r="H14" s="1325"/>
      <c r="I14" s="1325"/>
      <c r="J14" s="1325"/>
    </row>
    <row r="15" spans="1:10" ht="13.2">
      <c r="A15" s="1325"/>
      <c r="B15" s="1325"/>
      <c r="C15" s="1325"/>
      <c r="D15" s="1325"/>
      <c r="E15" s="1325"/>
      <c r="F15" s="1325"/>
      <c r="G15" s="1325"/>
      <c r="H15" s="1325"/>
      <c r="I15" s="1325"/>
      <c r="J15" s="1325"/>
    </row>
    <row r="16" spans="1:10" ht="13.2">
      <c r="A16" s="1325"/>
      <c r="B16" s="1325"/>
      <c r="C16" s="1325"/>
      <c r="D16" s="1325"/>
      <c r="E16" s="1325"/>
      <c r="F16" s="1325"/>
      <c r="G16" s="1325"/>
      <c r="H16" s="1325"/>
      <c r="I16" s="1325"/>
      <c r="J16" s="1325"/>
    </row>
    <row r="17" spans="1:10" ht="13.2">
      <c r="A17" s="558"/>
      <c r="B17" s="558"/>
      <c r="C17" s="558"/>
      <c r="D17" s="558"/>
      <c r="E17" s="558"/>
      <c r="F17" s="558"/>
      <c r="G17" s="558"/>
      <c r="H17" s="558"/>
      <c r="I17" s="558"/>
      <c r="J17" s="558"/>
    </row>
    <row r="18" spans="1:10" ht="13.2">
      <c r="A18" s="510" t="s">
        <v>2061</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4" t="s">
        <v>1294</v>
      </c>
      <c r="B20" s="1324"/>
      <c r="C20" s="1324"/>
      <c r="D20" s="1324"/>
      <c r="E20" s="1324"/>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21" t="s">
        <v>1295</v>
      </c>
      <c r="B57" s="1321"/>
      <c r="C57" s="1321"/>
      <c r="D57" s="1321"/>
      <c r="E57" s="1321"/>
      <c r="F57" s="1321"/>
      <c r="G57" s="1321"/>
      <c r="H57" s="1321"/>
      <c r="I57" s="1321"/>
      <c r="J57" s="1321"/>
    </row>
    <row r="58" spans="1:10" ht="13.2">
      <c r="A58" s="1321"/>
      <c r="B58" s="1321"/>
      <c r="C58" s="1321"/>
      <c r="D58" s="1321"/>
      <c r="E58" s="1321"/>
      <c r="F58" s="1321"/>
      <c r="G58" s="1321"/>
      <c r="H58" s="1321"/>
      <c r="I58" s="1321"/>
      <c r="J58" s="1321"/>
    </row>
    <row r="59" spans="1:10" ht="13.2">
      <c r="A59" s="1321"/>
      <c r="B59" s="1321"/>
      <c r="C59" s="1321"/>
      <c r="D59" s="1321"/>
      <c r="E59" s="1321"/>
      <c r="F59" s="1321"/>
      <c r="G59" s="1321"/>
      <c r="H59" s="1321"/>
      <c r="I59" s="1321"/>
      <c r="J59" s="1321"/>
    </row>
    <row r="60" spans="1:10" ht="13.2"/>
    <row r="61" spans="1:10" ht="13.2">
      <c r="A61" s="433" t="s">
        <v>1294</v>
      </c>
    </row>
    <row r="62" spans="1:10" ht="13.2"/>
    <row r="63" spans="1:10" ht="13.2"/>
    <row r="64" spans="1:10" ht="13.2"/>
    <row r="65" spans="1:9" ht="13.2"/>
    <row r="66" spans="1:9" ht="13.2"/>
    <row r="67" spans="1:9" ht="13.2"/>
    <row r="68" spans="1:9" ht="13.2"/>
    <row r="69" spans="1:9" ht="13.2"/>
    <row r="70" spans="1:9" ht="13.2"/>
    <row r="71" spans="1:9" ht="13.2"/>
    <row r="72" spans="1:9" ht="13.2">
      <c r="A72" s="1322" t="s">
        <v>2058</v>
      </c>
      <c r="B72" s="1322"/>
      <c r="C72" s="1322"/>
      <c r="D72" s="1322"/>
      <c r="E72" s="1322"/>
      <c r="F72" s="1322"/>
      <c r="G72" s="1322"/>
      <c r="H72" s="1322"/>
      <c r="I72" s="1322"/>
    </row>
    <row r="73" spans="1:9" ht="13.2">
      <c r="A73" s="1274" t="s">
        <v>2353</v>
      </c>
      <c r="B73" s="1274"/>
      <c r="C73" s="1274"/>
      <c r="D73" s="1274"/>
      <c r="E73" s="1274"/>
    </row>
    <row r="74" spans="1:9" ht="13.2">
      <c r="A74" s="1274" t="s">
        <v>2354</v>
      </c>
      <c r="B74" s="1274"/>
      <c r="C74" s="1274"/>
      <c r="D74" s="1274"/>
      <c r="E74" s="1274"/>
    </row>
    <row r="75" spans="1:9" ht="13.2">
      <c r="A75" s="1274" t="s">
        <v>2059</v>
      </c>
      <c r="B75" s="1274"/>
      <c r="C75" s="1274"/>
      <c r="D75" s="1274"/>
      <c r="E75" s="1274"/>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15240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739" workbookViewId="0">
      <selection activeCell="B985" sqref="B985"/>
    </sheetView>
  </sheetViews>
  <sheetFormatPr defaultColWidth="0" defaultRowHeight="13.2" zeroHeight="1"/>
  <cols>
    <col min="1" max="1" width="3.6640625" style="514" customWidth="1"/>
    <col min="2" max="2" width="13.6640625" style="514" customWidth="1"/>
    <col min="3" max="3" width="2.6640625" style="514" customWidth="1"/>
    <col min="4" max="5" width="3.6640625" style="433" customWidth="1"/>
    <col min="6" max="6" width="65.6640625" style="433" customWidth="1"/>
    <col min="7" max="7" width="1.6640625" style="433" customWidth="1"/>
    <col min="8" max="8" width="3.6640625" style="433" customWidth="1"/>
    <col min="9" max="9" width="24.33203125" style="435" customWidth="1"/>
    <col min="10" max="10" width="8.77734375" style="433" customWidth="1"/>
    <col min="11" max="16384" width="8.77734375" style="433" hidden="1"/>
  </cols>
  <sheetData>
    <row r="1" spans="1:13"/>
    <row r="2" spans="1:13">
      <c r="A2" s="1351" t="s">
        <v>2575</v>
      </c>
      <c r="B2" s="1351"/>
      <c r="C2" s="1351"/>
      <c r="D2" s="1351"/>
      <c r="E2" s="1351"/>
      <c r="F2" s="1351"/>
      <c r="G2" s="1351"/>
      <c r="H2" s="1351"/>
      <c r="I2" s="1351"/>
    </row>
    <row r="3" spans="1:13">
      <c r="A3" s="1339" t="s">
        <v>2620</v>
      </c>
      <c r="B3" s="1339"/>
      <c r="C3" s="1339"/>
      <c r="D3" s="1339"/>
      <c r="E3" s="1339"/>
      <c r="F3" s="1339"/>
      <c r="G3" s="1339"/>
      <c r="H3" s="1339"/>
      <c r="I3" s="1339"/>
    </row>
    <row r="4" spans="1:13">
      <c r="A4" s="1339"/>
      <c r="B4" s="1339"/>
      <c r="C4" s="1324"/>
      <c r="D4" s="1324"/>
      <c r="E4" s="1324"/>
      <c r="F4" s="1324"/>
      <c r="G4" s="1324"/>
    </row>
    <row r="5" spans="1:13">
      <c r="A5" s="1339"/>
      <c r="B5" s="1339"/>
      <c r="C5" s="1324"/>
      <c r="D5" s="1324"/>
      <c r="E5" s="1324"/>
      <c r="F5" s="1324"/>
      <c r="G5" s="1324"/>
    </row>
    <row r="6" spans="1:13" ht="12.75" customHeight="1">
      <c r="A6" s="1342" t="s">
        <v>2619</v>
      </c>
      <c r="B6" s="1342"/>
      <c r="C6" s="1342"/>
      <c r="D6" s="1342"/>
      <c r="E6" s="1342"/>
      <c r="F6" s="1342"/>
      <c r="G6" s="1342"/>
      <c r="I6" s="524" t="s">
        <v>2068</v>
      </c>
    </row>
    <row r="7" spans="1:13">
      <c r="A7" s="1342"/>
      <c r="B7" s="1342"/>
      <c r="C7" s="1342"/>
      <c r="D7" s="1342"/>
      <c r="E7" s="1342"/>
      <c r="F7" s="1342"/>
      <c r="G7" s="1342"/>
      <c r="I7" s="524" t="s">
        <v>2069</v>
      </c>
    </row>
    <row r="8" spans="1:13">
      <c r="A8" s="515"/>
      <c r="B8" s="515"/>
      <c r="C8" s="516"/>
      <c r="D8" s="516"/>
      <c r="E8" s="516"/>
      <c r="F8" s="516"/>
    </row>
    <row r="9" spans="1:13">
      <c r="A9" s="1283" t="s">
        <v>1167</v>
      </c>
      <c r="B9" s="1283"/>
      <c r="C9" s="1283"/>
      <c r="D9" s="1283"/>
      <c r="E9" s="1283"/>
      <c r="F9" s="1283"/>
      <c r="G9" s="1283"/>
      <c r="H9" s="1063"/>
      <c r="I9" s="1064"/>
    </row>
    <row r="10" spans="1:13">
      <c r="A10" s="516"/>
      <c r="B10" s="516"/>
      <c r="E10" s="435"/>
    </row>
    <row r="11" spans="1:13" ht="13.8" customHeight="1">
      <c r="C11" s="516"/>
      <c r="D11" s="1341" t="s">
        <v>1166</v>
      </c>
      <c r="E11" s="1341"/>
      <c r="F11" s="1341"/>
    </row>
    <row r="12" spans="1:13">
      <c r="C12" s="516"/>
      <c r="D12" s="1341"/>
      <c r="E12" s="1341"/>
      <c r="F12" s="1341"/>
    </row>
    <row r="13" spans="1:13">
      <c r="A13" s="517"/>
      <c r="B13" s="517"/>
      <c r="C13" s="517"/>
      <c r="D13" s="1296" t="s">
        <v>1149</v>
      </c>
      <c r="E13" s="1296"/>
      <c r="F13" s="1296"/>
      <c r="M13" s="96"/>
    </row>
    <row r="14" spans="1:13">
      <c r="A14" s="517"/>
      <c r="B14" s="517"/>
      <c r="C14" s="517"/>
      <c r="D14" s="510"/>
      <c r="L14" s="336"/>
    </row>
    <row r="15" spans="1:13" ht="14.4">
      <c r="A15" s="518"/>
      <c r="B15" s="519" t="s">
        <v>2719</v>
      </c>
      <c r="C15" s="517"/>
      <c r="D15" s="1295" t="s">
        <v>2216</v>
      </c>
      <c r="E15" s="1295"/>
      <c r="F15" s="1295"/>
      <c r="I15" s="524" t="s">
        <v>2070</v>
      </c>
    </row>
    <row r="16" spans="1:13">
      <c r="A16" s="517"/>
      <c r="B16" s="517"/>
      <c r="C16" s="517"/>
      <c r="D16" s="1295"/>
      <c r="E16" s="1295"/>
      <c r="F16" s="1295"/>
      <c r="I16" s="524"/>
    </row>
    <row r="17" spans="1:9">
      <c r="A17" s="517"/>
      <c r="B17" s="517"/>
      <c r="C17" s="517"/>
      <c r="D17" s="1295"/>
      <c r="E17" s="1295"/>
      <c r="F17" s="1295"/>
      <c r="I17" s="524"/>
    </row>
    <row r="18" spans="1:9">
      <c r="A18" s="517"/>
      <c r="B18" s="517"/>
      <c r="C18" s="517"/>
      <c r="D18" s="479"/>
      <c r="E18" s="336" t="s">
        <v>2214</v>
      </c>
      <c r="F18" s="479"/>
      <c r="I18" s="524"/>
    </row>
    <row r="19" spans="1:9">
      <c r="A19" s="517"/>
      <c r="B19" s="517"/>
      <c r="C19" s="517"/>
      <c r="I19" s="524"/>
    </row>
    <row r="20" spans="1:9" ht="14.4">
      <c r="A20" s="518"/>
      <c r="B20" s="519" t="s">
        <v>2719</v>
      </c>
      <c r="D20" s="1295" t="s">
        <v>2217</v>
      </c>
      <c r="E20" s="1295"/>
      <c r="F20" s="1295"/>
      <c r="I20" s="524" t="s">
        <v>2071</v>
      </c>
    </row>
    <row r="21" spans="1:9" ht="14.4">
      <c r="A21" s="518"/>
      <c r="D21" s="1295"/>
      <c r="E21" s="1295"/>
      <c r="F21" s="1295"/>
      <c r="I21" s="524"/>
    </row>
    <row r="22" spans="1:9" ht="14.4">
      <c r="A22" s="518"/>
      <c r="D22" s="423"/>
      <c r="E22" s="96" t="s">
        <v>2213</v>
      </c>
      <c r="F22" s="423"/>
      <c r="I22" s="524"/>
    </row>
    <row r="23" spans="1:9" ht="14.4">
      <c r="A23" s="518"/>
      <c r="B23" s="518"/>
      <c r="D23" s="480"/>
      <c r="I23" s="524"/>
    </row>
    <row r="24" spans="1:9" ht="14.4">
      <c r="A24" s="518"/>
      <c r="B24" s="519" t="s">
        <v>2720</v>
      </c>
      <c r="D24" s="1295" t="s">
        <v>1152</v>
      </c>
      <c r="E24" s="1295"/>
      <c r="F24" s="1295"/>
      <c r="I24" s="524" t="s">
        <v>2071</v>
      </c>
    </row>
    <row r="25" spans="1:9" ht="14.4">
      <c r="A25" s="518"/>
      <c r="B25" s="518"/>
      <c r="D25" s="1295"/>
      <c r="E25" s="1295"/>
      <c r="F25" s="1295"/>
      <c r="I25" s="524"/>
    </row>
    <row r="26" spans="1:9">
      <c r="I26" s="524"/>
    </row>
    <row r="27" spans="1:9" ht="14.4">
      <c r="A27" s="518"/>
      <c r="B27" s="519" t="s">
        <v>2719</v>
      </c>
      <c r="D27" s="1295" t="s">
        <v>2356</v>
      </c>
      <c r="E27" s="1295"/>
      <c r="F27" s="1295"/>
      <c r="I27" s="524" t="s">
        <v>2074</v>
      </c>
    </row>
    <row r="28" spans="1:9">
      <c r="D28" s="1295"/>
      <c r="E28" s="1295"/>
      <c r="F28" s="1295"/>
      <c r="I28" s="524"/>
    </row>
    <row r="29" spans="1:9">
      <c r="D29" s="1295"/>
      <c r="E29" s="1295"/>
      <c r="F29" s="1295"/>
      <c r="I29" s="524"/>
    </row>
    <row r="30" spans="1:9">
      <c r="D30" s="1295"/>
      <c r="E30" s="1295"/>
      <c r="F30" s="1295"/>
      <c r="I30" s="524"/>
    </row>
    <row r="31" spans="1:9">
      <c r="D31" s="1295"/>
      <c r="E31" s="1295"/>
      <c r="F31" s="1295"/>
      <c r="I31" s="524"/>
    </row>
    <row r="32" spans="1:9">
      <c r="D32" s="481"/>
      <c r="I32" s="524"/>
    </row>
    <row r="33" spans="1:9">
      <c r="B33" s="519" t="s">
        <v>2720</v>
      </c>
      <c r="D33" s="1295" t="s">
        <v>2357</v>
      </c>
      <c r="E33" s="1295"/>
      <c r="F33" s="1295"/>
      <c r="I33" s="524" t="s">
        <v>2070</v>
      </c>
    </row>
    <row r="34" spans="1:9">
      <c r="D34" s="1295"/>
      <c r="E34" s="1295"/>
      <c r="F34" s="1295"/>
      <c r="I34" s="524"/>
    </row>
    <row r="35" spans="1:9" ht="14.4">
      <c r="A35" s="518"/>
      <c r="B35" s="518"/>
      <c r="D35" s="481"/>
      <c r="I35" s="524"/>
    </row>
    <row r="36" spans="1:9" ht="14.55" customHeight="1">
      <c r="A36" s="518"/>
      <c r="B36" s="519" t="s">
        <v>2720</v>
      </c>
      <c r="D36" s="1295" t="s">
        <v>1319</v>
      </c>
      <c r="E36" s="1295"/>
      <c r="F36" s="1295"/>
      <c r="I36" s="524" t="s">
        <v>2141</v>
      </c>
    </row>
    <row r="37" spans="1:9" ht="14.4">
      <c r="A37" s="518"/>
      <c r="B37" s="518"/>
      <c r="D37" s="1295"/>
      <c r="E37" s="1295"/>
      <c r="F37" s="1295"/>
      <c r="I37" s="524"/>
    </row>
    <row r="38" spans="1:9" ht="14.4">
      <c r="A38" s="518"/>
      <c r="B38" s="518"/>
      <c r="D38" s="1295"/>
      <c r="E38" s="1295"/>
      <c r="F38" s="1295"/>
      <c r="I38" s="524"/>
    </row>
    <row r="39" spans="1:9" ht="14.4">
      <c r="A39" s="518"/>
      <c r="B39" s="518"/>
      <c r="D39" s="1295"/>
      <c r="E39" s="1295"/>
      <c r="F39" s="1295"/>
      <c r="I39" s="524"/>
    </row>
    <row r="40" spans="1:9" ht="14.4">
      <c r="A40" s="518"/>
      <c r="B40" s="518"/>
      <c r="I40" s="524"/>
    </row>
    <row r="41" spans="1:9" ht="14.4">
      <c r="A41" s="518"/>
      <c r="B41" s="519" t="s">
        <v>2720</v>
      </c>
      <c r="D41" s="1295" t="s">
        <v>1156</v>
      </c>
      <c r="E41" s="1295"/>
      <c r="F41" s="1295"/>
      <c r="I41" s="524"/>
    </row>
    <row r="42" spans="1:9" ht="14.4">
      <c r="A42" s="518"/>
      <c r="B42" s="518"/>
      <c r="D42" s="1295"/>
      <c r="E42" s="1295"/>
      <c r="F42" s="1295"/>
      <c r="I42" s="524"/>
    </row>
    <row r="43" spans="1:9" ht="14.4">
      <c r="A43" s="518"/>
      <c r="B43" s="518"/>
      <c r="D43" s="1295"/>
      <c r="E43" s="1295"/>
      <c r="F43" s="1295"/>
      <c r="I43" s="524"/>
    </row>
    <row r="44" spans="1:9" ht="14.4">
      <c r="A44" s="518"/>
      <c r="B44" s="518"/>
      <c r="D44" s="1295"/>
      <c r="E44" s="1295"/>
      <c r="F44" s="1295"/>
      <c r="I44" s="524"/>
    </row>
    <row r="45" spans="1:9" ht="14.4">
      <c r="A45" s="518"/>
      <c r="B45" s="518"/>
      <c r="D45" s="1295"/>
      <c r="E45" s="1295"/>
      <c r="F45" s="1295"/>
      <c r="I45" s="524"/>
    </row>
    <row r="46" spans="1:9" ht="14.4">
      <c r="A46" s="518"/>
      <c r="B46" s="518"/>
      <c r="D46" s="479"/>
      <c r="E46" s="479"/>
      <c r="F46" s="479"/>
      <c r="I46" s="524"/>
    </row>
    <row r="47" spans="1:9" ht="14.4">
      <c r="A47" s="518"/>
      <c r="B47" s="519" t="s">
        <v>2720</v>
      </c>
      <c r="D47" s="1295" t="s">
        <v>1157</v>
      </c>
      <c r="E47" s="1295"/>
      <c r="F47" s="1295"/>
      <c r="I47" s="524" t="s">
        <v>2141</v>
      </c>
    </row>
    <row r="48" spans="1:9" ht="14.4">
      <c r="A48" s="518"/>
      <c r="B48" s="518"/>
      <c r="D48" s="1295"/>
      <c r="E48" s="1295"/>
      <c r="F48" s="1295"/>
      <c r="I48" s="524"/>
    </row>
    <row r="49" spans="1:9" ht="14.4">
      <c r="A49" s="518"/>
      <c r="B49" s="518"/>
      <c r="D49" s="1295"/>
      <c r="E49" s="1295"/>
      <c r="F49" s="1295"/>
      <c r="I49" s="524"/>
    </row>
    <row r="50" spans="1:9" ht="23.25" customHeight="1">
      <c r="A50" s="518"/>
      <c r="B50" s="518"/>
      <c r="D50" s="1295"/>
      <c r="E50" s="1295"/>
      <c r="F50" s="1295"/>
      <c r="I50" s="524"/>
    </row>
    <row r="51" spans="1:9" ht="14.4">
      <c r="A51" s="518"/>
      <c r="B51" s="518"/>
      <c r="D51" s="480"/>
      <c r="I51" s="524"/>
    </row>
    <row r="52" spans="1:9" ht="14.55" customHeight="1">
      <c r="A52" s="518"/>
      <c r="B52" s="519" t="s">
        <v>2720</v>
      </c>
      <c r="D52" s="1295" t="s">
        <v>1158</v>
      </c>
      <c r="E52" s="1295"/>
      <c r="F52" s="1295"/>
      <c r="I52" s="524" t="s">
        <v>2141</v>
      </c>
    </row>
    <row r="53" spans="1:9" ht="14.4">
      <c r="A53" s="518"/>
      <c r="B53" s="518"/>
      <c r="D53" s="1295"/>
      <c r="E53" s="1295"/>
      <c r="F53" s="1295"/>
      <c r="I53" s="524"/>
    </row>
    <row r="54" spans="1:9" ht="14.4">
      <c r="A54" s="518"/>
      <c r="B54" s="518"/>
      <c r="D54" s="1295"/>
      <c r="E54" s="1295"/>
      <c r="F54" s="1295"/>
      <c r="I54" s="524"/>
    </row>
    <row r="55" spans="1:9" ht="14.4">
      <c r="A55" s="518"/>
      <c r="B55" s="518"/>
      <c r="I55" s="524"/>
    </row>
    <row r="56" spans="1:9" ht="14.4">
      <c r="A56" s="518"/>
      <c r="B56" s="519" t="s">
        <v>2719</v>
      </c>
      <c r="D56" s="1344" t="s">
        <v>1159</v>
      </c>
      <c r="E56" s="1344"/>
      <c r="F56" s="1344"/>
      <c r="I56" s="524"/>
    </row>
    <row r="57" spans="1:9" ht="14.4">
      <c r="A57" s="518"/>
      <c r="B57" s="518"/>
      <c r="D57" s="1344"/>
      <c r="E57" s="1344"/>
      <c r="F57" s="1344"/>
      <c r="I57" s="524"/>
    </row>
    <row r="58" spans="1:9" ht="14.4">
      <c r="A58" s="518"/>
      <c r="B58" s="518"/>
      <c r="D58" s="423" t="s">
        <v>2215</v>
      </c>
      <c r="E58" s="479"/>
      <c r="F58" s="479"/>
      <c r="I58" s="524"/>
    </row>
    <row r="59" spans="1:9" ht="14.4">
      <c r="A59" s="518"/>
      <c r="B59" s="518"/>
      <c r="D59" s="479"/>
      <c r="E59" s="336" t="s">
        <v>2214</v>
      </c>
      <c r="F59" s="479"/>
      <c r="I59" s="524"/>
    </row>
    <row r="60" spans="1:9">
      <c r="D60" s="481"/>
      <c r="I60" s="524"/>
    </row>
    <row r="61" spans="1:9" ht="14.4">
      <c r="A61" s="518"/>
      <c r="B61" s="519" t="s">
        <v>2720</v>
      </c>
      <c r="D61" s="1295" t="s">
        <v>1160</v>
      </c>
      <c r="E61" s="1295"/>
      <c r="F61" s="1295"/>
      <c r="I61" s="524" t="s">
        <v>2072</v>
      </c>
    </row>
    <row r="62" spans="1:9">
      <c r="D62" s="1295"/>
      <c r="E62" s="1295"/>
      <c r="F62" s="1295"/>
      <c r="I62" s="524"/>
    </row>
    <row r="63" spans="1:9">
      <c r="D63" s="1295"/>
      <c r="E63" s="1295"/>
      <c r="F63" s="1295"/>
      <c r="I63" s="524"/>
    </row>
    <row r="64" spans="1:9">
      <c r="I64" s="524"/>
    </row>
    <row r="65" spans="1:9" ht="14.4">
      <c r="A65" s="518"/>
      <c r="B65" s="519" t="s">
        <v>2720</v>
      </c>
      <c r="D65" s="1295" t="s">
        <v>1161</v>
      </c>
      <c r="E65" s="1295"/>
      <c r="F65" s="1295"/>
      <c r="I65" s="524" t="s">
        <v>2073</v>
      </c>
    </row>
    <row r="66" spans="1:9">
      <c r="D66" s="1295"/>
      <c r="E66" s="1295"/>
      <c r="F66" s="1295"/>
      <c r="I66" s="524"/>
    </row>
    <row r="67" spans="1:9">
      <c r="I67" s="524"/>
    </row>
    <row r="68" spans="1:9" ht="14.4">
      <c r="A68" s="518"/>
      <c r="B68" s="519" t="s">
        <v>2719</v>
      </c>
      <c r="D68" s="1295" t="s">
        <v>1162</v>
      </c>
      <c r="E68" s="1295"/>
      <c r="F68" s="1295"/>
      <c r="I68" s="524"/>
    </row>
    <row r="69" spans="1:9">
      <c r="D69" s="1295"/>
      <c r="E69" s="1295"/>
      <c r="F69" s="1295"/>
      <c r="I69" s="524" t="s">
        <v>2074</v>
      </c>
    </row>
    <row r="70" spans="1:9">
      <c r="D70" s="1295"/>
      <c r="E70" s="1295"/>
      <c r="F70" s="1295"/>
      <c r="I70" s="524"/>
    </row>
    <row r="71" spans="1:9">
      <c r="I71" s="524"/>
    </row>
    <row r="72" spans="1:9" ht="14.4">
      <c r="A72" s="518"/>
      <c r="B72" s="519" t="s">
        <v>2719</v>
      </c>
      <c r="D72" s="1295" t="s">
        <v>1163</v>
      </c>
      <c r="E72" s="1295"/>
      <c r="F72" s="1295"/>
      <c r="I72" s="524" t="s">
        <v>2074</v>
      </c>
    </row>
    <row r="73" spans="1:9">
      <c r="D73" s="1295"/>
      <c r="E73" s="1295"/>
      <c r="F73" s="1295"/>
      <c r="I73" s="524"/>
    </row>
    <row r="74" spans="1:9" ht="14.4">
      <c r="A74" s="518"/>
      <c r="B74" s="518"/>
      <c r="D74" s="480"/>
      <c r="I74" s="524"/>
    </row>
    <row r="75" spans="1:9">
      <c r="A75" s="1283" t="s">
        <v>1070</v>
      </c>
      <c r="B75" s="1283"/>
      <c r="C75" s="1283"/>
      <c r="D75" s="1283"/>
      <c r="E75" s="1283"/>
      <c r="F75" s="1283"/>
      <c r="G75" s="1283"/>
      <c r="H75" s="1063"/>
      <c r="I75" s="1256"/>
    </row>
    <row r="76" spans="1:9">
      <c r="I76" s="524"/>
    </row>
    <row r="77" spans="1:9">
      <c r="C77" s="520"/>
      <c r="D77" s="1297" t="s">
        <v>1168</v>
      </c>
      <c r="E77" s="1297"/>
      <c r="F77" s="1297"/>
      <c r="I77" s="524"/>
    </row>
    <row r="78" spans="1:9">
      <c r="A78" s="480"/>
      <c r="B78" s="480"/>
      <c r="D78" s="1295" t="s">
        <v>1195</v>
      </c>
      <c r="E78" s="1295"/>
      <c r="F78" s="1295"/>
      <c r="I78" s="524"/>
    </row>
    <row r="79" spans="1:9">
      <c r="A79" s="480"/>
      <c r="B79" s="480"/>
      <c r="I79" s="524"/>
    </row>
    <row r="80" spans="1:9" ht="13.8" customHeight="1">
      <c r="A80" s="518"/>
      <c r="B80" s="519" t="s">
        <v>2719</v>
      </c>
      <c r="D80" s="1295" t="s">
        <v>1352</v>
      </c>
      <c r="E80" s="1295"/>
      <c r="F80" s="1295"/>
      <c r="I80" s="524" t="s">
        <v>2075</v>
      </c>
    </row>
    <row r="81" spans="1:9" ht="14.4">
      <c r="A81" s="518"/>
      <c r="B81" s="518"/>
      <c r="D81" s="1295"/>
      <c r="E81" s="1295"/>
      <c r="F81" s="1295"/>
      <c r="I81" s="524"/>
    </row>
    <row r="82" spans="1:9" ht="14.4">
      <c r="A82" s="518"/>
      <c r="B82" s="518"/>
      <c r="D82" s="1295"/>
      <c r="E82" s="1295"/>
      <c r="F82" s="1295"/>
      <c r="I82" s="524"/>
    </row>
    <row r="83" spans="1:9" ht="14.4">
      <c r="A83" s="518"/>
      <c r="B83" s="518"/>
      <c r="D83" s="1295"/>
      <c r="E83" s="1295"/>
      <c r="F83" s="1295"/>
      <c r="I83" s="524"/>
    </row>
    <row r="84" spans="1:9" ht="14.4">
      <c r="A84" s="518"/>
      <c r="B84" s="518"/>
      <c r="D84" s="1295"/>
      <c r="E84" s="1295"/>
      <c r="F84" s="1295"/>
      <c r="I84" s="524"/>
    </row>
    <row r="85" spans="1:9" ht="14.4">
      <c r="A85" s="518"/>
      <c r="B85" s="518"/>
      <c r="D85" s="1295"/>
      <c r="E85" s="1295"/>
      <c r="F85" s="1295"/>
      <c r="I85" s="524"/>
    </row>
    <row r="86" spans="1:9" ht="14.4">
      <c r="A86" s="518"/>
      <c r="B86" s="518"/>
      <c r="D86" s="1295"/>
      <c r="E86" s="1295"/>
      <c r="F86" s="1295"/>
      <c r="I86" s="524"/>
    </row>
    <row r="87" spans="1:9" ht="14.4">
      <c r="A87" s="518"/>
      <c r="B87" s="518"/>
      <c r="D87" s="1295"/>
      <c r="E87" s="1295"/>
      <c r="F87" s="1295"/>
      <c r="I87" s="524"/>
    </row>
    <row r="88" spans="1:9" ht="14.4">
      <c r="A88" s="518"/>
      <c r="B88" s="518"/>
      <c r="D88" s="416"/>
      <c r="E88" s="416"/>
      <c r="F88" s="416"/>
      <c r="I88" s="524"/>
    </row>
    <row r="89" spans="1:9" ht="15" customHeight="1">
      <c r="A89" s="518"/>
      <c r="B89" s="519" t="s">
        <v>2719</v>
      </c>
      <c r="D89" s="1295" t="s">
        <v>1929</v>
      </c>
      <c r="E89" s="1295"/>
      <c r="F89" s="1295"/>
      <c r="I89" s="524" t="s">
        <v>2076</v>
      </c>
    </row>
    <row r="90" spans="1:9" ht="14.4">
      <c r="A90" s="518"/>
      <c r="B90" s="518"/>
      <c r="D90" s="1295"/>
      <c r="E90" s="1295"/>
      <c r="F90" s="1295"/>
      <c r="I90" s="524"/>
    </row>
    <row r="91" spans="1:9" ht="14.4">
      <c r="A91" s="518"/>
      <c r="B91" s="518"/>
      <c r="D91" s="479"/>
      <c r="E91" s="479"/>
      <c r="F91" s="479"/>
      <c r="I91" s="524"/>
    </row>
    <row r="92" spans="1:9" ht="14.4">
      <c r="A92" s="518"/>
      <c r="B92" s="519" t="s">
        <v>2719</v>
      </c>
      <c r="D92" s="1295" t="s">
        <v>1932</v>
      </c>
      <c r="E92" s="1295"/>
      <c r="F92" s="1295"/>
      <c r="I92" s="524" t="s">
        <v>2077</v>
      </c>
    </row>
    <row r="93" spans="1:9" ht="14.4">
      <c r="A93" s="518"/>
      <c r="B93" s="518"/>
      <c r="D93" s="1295"/>
      <c r="E93" s="1295"/>
      <c r="F93" s="1295"/>
      <c r="I93" s="524"/>
    </row>
    <row r="94" spans="1:9" ht="14.4">
      <c r="A94" s="518"/>
      <c r="B94" s="518"/>
      <c r="D94" s="1295"/>
      <c r="E94" s="1295"/>
      <c r="F94" s="1295"/>
      <c r="I94" s="524"/>
    </row>
    <row r="95" spans="1:9" ht="14.4">
      <c r="A95" s="518"/>
      <c r="B95" s="518"/>
      <c r="D95" s="479"/>
      <c r="E95" s="479"/>
      <c r="F95" s="479"/>
      <c r="I95" s="524"/>
    </row>
    <row r="96" spans="1:9" ht="14.4">
      <c r="A96" s="518"/>
      <c r="B96" s="519" t="s">
        <v>2719</v>
      </c>
      <c r="D96" s="1295" t="s">
        <v>1931</v>
      </c>
      <c r="E96" s="1295"/>
      <c r="F96" s="1295"/>
      <c r="I96" s="524" t="s">
        <v>2122</v>
      </c>
    </row>
    <row r="97" spans="1:9" s="1022" customFormat="1" ht="14.4">
      <c r="A97" s="1020"/>
      <c r="B97" s="1020"/>
      <c r="C97" s="1021"/>
      <c r="D97" s="1295"/>
      <c r="E97" s="1295"/>
      <c r="F97" s="1295"/>
      <c r="I97" s="1257"/>
    </row>
    <row r="98" spans="1:9" ht="14.4">
      <c r="A98" s="518"/>
      <c r="B98" s="518"/>
      <c r="D98" s="423"/>
      <c r="E98" s="336" t="s">
        <v>2218</v>
      </c>
      <c r="F98" s="479"/>
      <c r="I98" s="524"/>
    </row>
    <row r="99" spans="1:9" ht="14.4">
      <c r="A99" s="518"/>
      <c r="B99" s="518"/>
      <c r="D99" s="416"/>
      <c r="E99" s="416"/>
      <c r="F99" s="416"/>
      <c r="I99" s="524"/>
    </row>
    <row r="100" spans="1:9" ht="14.4">
      <c r="A100" s="518"/>
      <c r="B100" s="519" t="s">
        <v>2720</v>
      </c>
      <c r="D100" s="1295" t="s">
        <v>1930</v>
      </c>
      <c r="E100" s="1295"/>
      <c r="F100" s="1295"/>
      <c r="I100" s="524" t="s">
        <v>2078</v>
      </c>
    </row>
    <row r="101" spans="1:9" ht="14.4">
      <c r="A101" s="518"/>
      <c r="B101" s="518"/>
      <c r="D101" s="1295"/>
      <c r="E101" s="1295"/>
      <c r="F101" s="1295"/>
      <c r="I101" s="524"/>
    </row>
    <row r="102" spans="1:9" ht="14.4">
      <c r="A102" s="518"/>
      <c r="B102" s="518"/>
      <c r="D102" s="479"/>
      <c r="E102" s="479"/>
      <c r="F102" s="479"/>
      <c r="I102" s="524"/>
    </row>
    <row r="103" spans="1:9" ht="14.55" customHeight="1">
      <c r="A103" s="518"/>
      <c r="B103" s="519" t="s">
        <v>2720</v>
      </c>
      <c r="D103" s="1295" t="s">
        <v>1299</v>
      </c>
      <c r="E103" s="1295"/>
      <c r="F103" s="1295"/>
      <c r="I103" s="524" t="s">
        <v>2079</v>
      </c>
    </row>
    <row r="104" spans="1:9" ht="14.4">
      <c r="A104" s="518"/>
      <c r="B104" s="518"/>
      <c r="D104" s="1295"/>
      <c r="E104" s="1295"/>
      <c r="F104" s="1295"/>
      <c r="I104" s="524"/>
    </row>
    <row r="105" spans="1:9" ht="14.4">
      <c r="A105" s="518"/>
      <c r="B105" s="518"/>
      <c r="D105" s="1295"/>
      <c r="E105" s="1295"/>
      <c r="F105" s="1295"/>
      <c r="I105" s="524"/>
    </row>
    <row r="106" spans="1:9" ht="14.4">
      <c r="A106" s="518"/>
      <c r="B106" s="518"/>
      <c r="D106" s="1295"/>
      <c r="E106" s="1295"/>
      <c r="F106" s="1295"/>
      <c r="I106" s="524"/>
    </row>
    <row r="107" spans="1:9" ht="14.4">
      <c r="A107" s="518"/>
      <c r="B107" s="518"/>
      <c r="D107" s="1295"/>
      <c r="E107" s="1295"/>
      <c r="F107" s="1295"/>
      <c r="I107" s="524"/>
    </row>
    <row r="108" spans="1:9" ht="14.4">
      <c r="A108" s="518"/>
      <c r="B108" s="518"/>
      <c r="D108" s="1295"/>
      <c r="E108" s="1295"/>
      <c r="F108" s="1295"/>
      <c r="I108" s="524"/>
    </row>
    <row r="109" spans="1:9" ht="14.4">
      <c r="A109" s="518"/>
      <c r="B109" s="518"/>
      <c r="D109" s="1295"/>
      <c r="E109" s="1295"/>
      <c r="F109" s="1295"/>
      <c r="I109" s="524"/>
    </row>
    <row r="110" spans="1:9" ht="14.4">
      <c r="A110" s="518"/>
      <c r="B110" s="518"/>
      <c r="D110" s="1295"/>
      <c r="E110" s="1295"/>
      <c r="F110" s="1295"/>
      <c r="I110" s="524"/>
    </row>
    <row r="111" spans="1:9" ht="14.4">
      <c r="A111" s="518"/>
      <c r="B111" s="518"/>
      <c r="D111" s="1295"/>
      <c r="E111" s="1295"/>
      <c r="F111" s="1295"/>
      <c r="I111" s="524"/>
    </row>
    <row r="112" spans="1:9" ht="14.4">
      <c r="A112" s="518"/>
      <c r="B112" s="518"/>
      <c r="D112" s="1295"/>
      <c r="E112" s="1295"/>
      <c r="F112" s="1295"/>
      <c r="I112" s="524"/>
    </row>
    <row r="113" spans="1:9" ht="14.4">
      <c r="A113" s="518"/>
      <c r="B113" s="518"/>
      <c r="D113" s="1295"/>
      <c r="E113" s="1295"/>
      <c r="F113" s="1295"/>
      <c r="I113" s="524"/>
    </row>
    <row r="114" spans="1:9" ht="14.4">
      <c r="A114" s="518"/>
      <c r="B114" s="518"/>
      <c r="D114" s="1295"/>
      <c r="E114" s="1295"/>
      <c r="F114" s="1295"/>
      <c r="I114" s="524"/>
    </row>
    <row r="115" spans="1:9" ht="14.4">
      <c r="A115" s="518"/>
      <c r="B115" s="518"/>
      <c r="D115" s="1295"/>
      <c r="E115" s="1295"/>
      <c r="F115" s="1295"/>
      <c r="I115" s="524"/>
    </row>
    <row r="116" spans="1:9" ht="14.4">
      <c r="A116" s="518"/>
      <c r="B116" s="518"/>
      <c r="D116" s="1295"/>
      <c r="E116" s="1295"/>
      <c r="F116" s="1295"/>
      <c r="I116" s="524"/>
    </row>
    <row r="117" spans="1:9" ht="14.4">
      <c r="A117" s="518"/>
      <c r="B117" s="518"/>
      <c r="D117" s="1295"/>
      <c r="E117" s="1295"/>
      <c r="F117" s="1295"/>
      <c r="I117" s="524"/>
    </row>
    <row r="118" spans="1:9" ht="14.4">
      <c r="A118" s="518"/>
      <c r="B118" s="518"/>
      <c r="D118" s="558"/>
      <c r="E118" s="558"/>
      <c r="F118" s="558"/>
      <c r="I118" s="524"/>
    </row>
    <row r="119" spans="1:9" ht="14.25" customHeight="1">
      <c r="A119" s="518"/>
      <c r="B119" s="519" t="s">
        <v>2720</v>
      </c>
      <c r="D119" s="1306" t="s">
        <v>1170</v>
      </c>
      <c r="E119" s="1306"/>
      <c r="F119" s="1306"/>
      <c r="I119" s="524"/>
    </row>
    <row r="120" spans="1:9" ht="14.4">
      <c r="A120" s="518"/>
      <c r="B120" s="518"/>
      <c r="D120" s="1306"/>
      <c r="E120" s="1306"/>
      <c r="F120" s="1306"/>
      <c r="I120" s="524"/>
    </row>
    <row r="121" spans="1:9" ht="14.4">
      <c r="A121" s="518"/>
      <c r="B121" s="518"/>
      <c r="D121" s="1306"/>
      <c r="E121" s="1306"/>
      <c r="F121" s="1306"/>
      <c r="I121" s="524"/>
    </row>
    <row r="122" spans="1:9" ht="14.4">
      <c r="A122" s="518"/>
      <c r="B122" s="518"/>
      <c r="D122" s="1306"/>
      <c r="E122" s="1306"/>
      <c r="F122" s="1306"/>
      <c r="I122" s="524"/>
    </row>
    <row r="123" spans="1:9" ht="14.4">
      <c r="A123" s="518"/>
      <c r="B123" s="518"/>
      <c r="D123" s="1306"/>
      <c r="E123" s="1306"/>
      <c r="F123" s="1306"/>
      <c r="I123" s="524"/>
    </row>
    <row r="124" spans="1:9" ht="14.4">
      <c r="A124" s="518"/>
      <c r="B124" s="518"/>
      <c r="D124" s="1306"/>
      <c r="E124" s="1306"/>
      <c r="F124" s="1306"/>
      <c r="I124" s="524"/>
    </row>
    <row r="125" spans="1:9" ht="14.4">
      <c r="A125" s="518"/>
      <c r="B125" s="518"/>
      <c r="D125" s="1306"/>
      <c r="E125" s="1306"/>
      <c r="F125" s="1306"/>
      <c r="I125" s="524"/>
    </row>
    <row r="126" spans="1:9" ht="14.4">
      <c r="A126" s="518"/>
      <c r="B126" s="518"/>
      <c r="D126" s="1306"/>
      <c r="E126" s="1306"/>
      <c r="F126" s="1306"/>
      <c r="I126" s="524"/>
    </row>
    <row r="127" spans="1:9">
      <c r="C127" s="433"/>
      <c r="D127" s="559"/>
      <c r="E127" s="559"/>
      <c r="F127" s="559"/>
      <c r="I127" s="524"/>
    </row>
    <row r="128" spans="1:9" ht="14.4">
      <c r="A128" s="518"/>
      <c r="B128" s="519" t="s">
        <v>2719</v>
      </c>
      <c r="C128" s="433"/>
      <c r="D128" s="1306" t="s">
        <v>2358</v>
      </c>
      <c r="E128" s="1306"/>
      <c r="F128" s="1306"/>
      <c r="I128" s="524" t="s">
        <v>2080</v>
      </c>
    </row>
    <row r="129" spans="1:9" ht="14.4">
      <c r="A129" s="518"/>
      <c r="B129" s="518"/>
      <c r="C129" s="433"/>
      <c r="D129" s="1306"/>
      <c r="E129" s="1306"/>
      <c r="F129" s="1306"/>
      <c r="I129" s="524"/>
    </row>
    <row r="130" spans="1:9">
      <c r="I130" s="524"/>
    </row>
    <row r="131" spans="1:9" ht="14.4">
      <c r="A131" s="518"/>
      <c r="B131" s="519" t="s">
        <v>2720</v>
      </c>
      <c r="D131" s="1295" t="s">
        <v>1173</v>
      </c>
      <c r="E131" s="1295"/>
      <c r="F131" s="1295"/>
      <c r="I131" s="524" t="s">
        <v>2080</v>
      </c>
    </row>
    <row r="132" spans="1:9">
      <c r="D132" s="1295"/>
      <c r="E132" s="1295"/>
      <c r="F132" s="1295"/>
      <c r="I132" s="524"/>
    </row>
    <row r="133" spans="1:9">
      <c r="D133" s="1295"/>
      <c r="E133" s="1295"/>
      <c r="F133" s="1295"/>
      <c r="I133" s="524"/>
    </row>
    <row r="134" spans="1:9">
      <c r="D134" s="1295"/>
      <c r="E134" s="1295"/>
      <c r="F134" s="1295"/>
      <c r="I134" s="524"/>
    </row>
    <row r="135" spans="1:9">
      <c r="D135" s="1295"/>
      <c r="E135" s="1295"/>
      <c r="F135" s="1295"/>
      <c r="I135" s="524"/>
    </row>
    <row r="136" spans="1:9">
      <c r="I136" s="524"/>
    </row>
    <row r="137" spans="1:9" ht="14.4">
      <c r="A137" s="518"/>
      <c r="B137" s="519" t="s">
        <v>2719</v>
      </c>
      <c r="D137" s="1295" t="s">
        <v>1174</v>
      </c>
      <c r="E137" s="1295"/>
      <c r="F137" s="1295"/>
      <c r="I137" s="524" t="s">
        <v>2081</v>
      </c>
    </row>
    <row r="138" spans="1:9" s="448" customFormat="1" ht="13.8" customHeight="1">
      <c r="A138" s="522"/>
      <c r="B138" s="522"/>
      <c r="C138" s="522"/>
      <c r="D138" s="1295"/>
      <c r="E138" s="1295"/>
      <c r="F138" s="1295"/>
      <c r="I138" s="1258"/>
    </row>
    <row r="139" spans="1:9" ht="13.8" customHeight="1">
      <c r="D139" s="1295"/>
      <c r="E139" s="1295"/>
      <c r="F139" s="1295"/>
      <c r="I139" s="524"/>
    </row>
    <row r="140" spans="1:9" ht="13.8" customHeight="1">
      <c r="D140" s="1295"/>
      <c r="E140" s="1295"/>
      <c r="F140" s="1295"/>
      <c r="I140" s="524"/>
    </row>
    <row r="141" spans="1:9" ht="13.8" customHeight="1">
      <c r="D141" s="1295"/>
      <c r="E141" s="1295"/>
      <c r="F141" s="1295"/>
      <c r="I141" s="524"/>
    </row>
    <row r="142" spans="1:9" ht="13.8" customHeight="1">
      <c r="A142" s="523"/>
      <c r="B142" s="523"/>
      <c r="D142" s="1295"/>
      <c r="E142" s="1295"/>
      <c r="F142" s="1295"/>
      <c r="I142" s="524"/>
    </row>
    <row r="143" spans="1:9" ht="13.8" customHeight="1">
      <c r="D143" s="1295"/>
      <c r="E143" s="1295"/>
      <c r="F143" s="1295"/>
      <c r="I143" s="524"/>
    </row>
    <row r="144" spans="1:9" ht="13.8" customHeight="1">
      <c r="D144" s="1295"/>
      <c r="E144" s="1295"/>
      <c r="F144" s="1295"/>
      <c r="I144" s="524"/>
    </row>
    <row r="145" spans="2:9" ht="13.8" customHeight="1">
      <c r="D145" s="1295"/>
      <c r="E145" s="1295"/>
      <c r="F145" s="1295"/>
      <c r="I145" s="524"/>
    </row>
    <row r="146" spans="2:9" ht="13.8" customHeight="1">
      <c r="D146" s="1295"/>
      <c r="E146" s="1295"/>
      <c r="F146" s="1295"/>
      <c r="I146" s="524"/>
    </row>
    <row r="147" spans="2:9" ht="13.8" customHeight="1">
      <c r="D147" s="1295"/>
      <c r="E147" s="1295"/>
      <c r="F147" s="1295"/>
      <c r="I147" s="524"/>
    </row>
    <row r="148" spans="2:9" ht="13.8" customHeight="1">
      <c r="D148" s="1295"/>
      <c r="E148" s="1295"/>
      <c r="F148" s="1295"/>
      <c r="I148" s="524"/>
    </row>
    <row r="149" spans="2:9" ht="13.8" customHeight="1">
      <c r="D149" s="1295"/>
      <c r="E149" s="1295"/>
      <c r="F149" s="1295"/>
      <c r="I149" s="524"/>
    </row>
    <row r="150" spans="2:9" ht="13.8" customHeight="1">
      <c r="D150" s="510"/>
      <c r="E150" s="480"/>
      <c r="F150" s="480"/>
      <c r="I150" s="524"/>
    </row>
    <row r="151" spans="2:9" ht="13.8" customHeight="1">
      <c r="B151" s="519" t="s">
        <v>2720</v>
      </c>
      <c r="D151" s="1295" t="s">
        <v>1282</v>
      </c>
      <c r="E151" s="1295"/>
      <c r="F151" s="1295"/>
      <c r="I151" s="524" t="s">
        <v>2082</v>
      </c>
    </row>
    <row r="152" spans="2:9" ht="13.8" customHeight="1">
      <c r="D152" s="1295"/>
      <c r="E152" s="1295"/>
      <c r="F152" s="1295"/>
      <c r="I152" s="524"/>
    </row>
    <row r="153" spans="2:9" ht="13.8" customHeight="1">
      <c r="D153" s="1295"/>
      <c r="E153" s="1295"/>
      <c r="F153" s="1295"/>
      <c r="I153" s="524"/>
    </row>
    <row r="154" spans="2:9" ht="13.8" customHeight="1">
      <c r="D154" s="1295"/>
      <c r="E154" s="1295"/>
      <c r="F154" s="1295"/>
      <c r="I154" s="524"/>
    </row>
    <row r="155" spans="2:9" ht="13.8" customHeight="1">
      <c r="D155" s="1295"/>
      <c r="E155" s="1295"/>
      <c r="F155" s="1295"/>
      <c r="I155" s="524"/>
    </row>
    <row r="156" spans="2:9" ht="13.8" customHeight="1">
      <c r="D156" s="1295"/>
      <c r="E156" s="1295"/>
      <c r="F156" s="1295"/>
      <c r="I156" s="524"/>
    </row>
    <row r="157" spans="2:9" ht="13.8" customHeight="1">
      <c r="D157" s="1295"/>
      <c r="E157" s="1295"/>
      <c r="F157" s="1295"/>
      <c r="I157" s="524"/>
    </row>
    <row r="158" spans="2:9" ht="13.8" customHeight="1">
      <c r="D158" s="1295"/>
      <c r="E158" s="1295"/>
      <c r="F158" s="1295"/>
      <c r="I158" s="524"/>
    </row>
    <row r="159" spans="2:9" ht="13.8" customHeight="1">
      <c r="D159" s="1295"/>
      <c r="E159" s="1295"/>
      <c r="F159" s="1295"/>
      <c r="I159" s="524"/>
    </row>
    <row r="160" spans="2:9" ht="13.8" customHeight="1">
      <c r="D160" s="1295"/>
      <c r="E160" s="1295"/>
      <c r="F160" s="1295"/>
      <c r="I160" s="524"/>
    </row>
    <row r="161" spans="1:9" ht="13.8" customHeight="1">
      <c r="D161" s="1295"/>
      <c r="E161" s="1295"/>
      <c r="F161" s="1295"/>
      <c r="I161" s="524"/>
    </row>
    <row r="162" spans="1:9" ht="13.8" customHeight="1">
      <c r="D162" s="1295"/>
      <c r="E162" s="1295"/>
      <c r="F162" s="1295"/>
      <c r="I162" s="524"/>
    </row>
    <row r="163" spans="1:9" ht="13.8" customHeight="1">
      <c r="D163" s="1295"/>
      <c r="E163" s="1295"/>
      <c r="F163" s="1295"/>
      <c r="I163" s="524"/>
    </row>
    <row r="164" spans="1:9" ht="13.8" customHeight="1">
      <c r="D164" s="1295"/>
      <c r="E164" s="1295"/>
      <c r="F164" s="1295"/>
      <c r="I164" s="524"/>
    </row>
    <row r="165" spans="1:9" ht="13.8" customHeight="1">
      <c r="D165" s="1295"/>
      <c r="E165" s="1295"/>
      <c r="F165" s="1295"/>
      <c r="I165" s="524"/>
    </row>
    <row r="166" spans="1:9" ht="13.8" customHeight="1">
      <c r="D166" s="1295"/>
      <c r="E166" s="1295"/>
      <c r="F166" s="1295"/>
      <c r="I166" s="524"/>
    </row>
    <row r="167" spans="1:9" ht="13.8" customHeight="1">
      <c r="D167" s="1295"/>
      <c r="E167" s="1295"/>
      <c r="F167" s="1295"/>
      <c r="I167" s="524"/>
    </row>
    <row r="168" spans="1:9" ht="13.8" customHeight="1">
      <c r="D168" s="1295"/>
      <c r="E168" s="1295"/>
      <c r="F168" s="1295"/>
      <c r="I168" s="524"/>
    </row>
    <row r="169" spans="1:9" ht="13.8" customHeight="1">
      <c r="D169" s="1340" t="s">
        <v>2382</v>
      </c>
      <c r="E169" s="1340"/>
      <c r="F169" s="1340"/>
      <c r="G169" s="541"/>
      <c r="I169" s="524"/>
    </row>
    <row r="170" spans="1:9" ht="13.8" customHeight="1">
      <c r="D170" s="1281"/>
      <c r="E170" s="1281"/>
      <c r="F170" s="1281"/>
      <c r="G170" s="1281"/>
      <c r="I170" s="524"/>
    </row>
    <row r="171" spans="1:9" ht="14.55" customHeight="1">
      <c r="A171" s="523"/>
      <c r="B171" s="519" t="s">
        <v>2720</v>
      </c>
      <c r="C171" s="510"/>
      <c r="D171" s="1277" t="s">
        <v>2570</v>
      </c>
      <c r="E171" s="1277"/>
      <c r="F171" s="1277"/>
      <c r="G171" s="510"/>
      <c r="I171" s="524" t="s">
        <v>2077</v>
      </c>
    </row>
    <row r="172" spans="1:9" ht="14.55" customHeight="1">
      <c r="A172" s="523"/>
      <c r="B172" s="523"/>
      <c r="C172" s="510"/>
      <c r="D172" s="1277"/>
      <c r="E172" s="1277"/>
      <c r="F172" s="1277"/>
      <c r="G172" s="510"/>
      <c r="I172" s="524"/>
    </row>
    <row r="173" spans="1:9" ht="14.55" customHeight="1">
      <c r="A173" s="523"/>
      <c r="B173" s="523"/>
      <c r="C173" s="510"/>
      <c r="D173" s="1277"/>
      <c r="E173" s="1277"/>
      <c r="F173" s="1277"/>
      <c r="G173" s="510"/>
      <c r="I173" s="524"/>
    </row>
    <row r="174" spans="1:9" ht="14.55" customHeight="1">
      <c r="A174" s="523"/>
      <c r="B174" s="523"/>
      <c r="C174" s="510"/>
      <c r="D174" s="1277"/>
      <c r="E174" s="1277"/>
      <c r="F174" s="1277"/>
      <c r="G174" s="510"/>
      <c r="I174" s="524"/>
    </row>
    <row r="175" spans="1:9" ht="13.8" customHeight="1">
      <c r="A175" s="523"/>
      <c r="B175" s="523"/>
      <c r="C175" s="510"/>
      <c r="D175" s="1277"/>
      <c r="E175" s="1277"/>
      <c r="F175" s="1277"/>
      <c r="G175" s="510"/>
      <c r="I175" s="524"/>
    </row>
    <row r="176" spans="1:9" ht="13.8" customHeight="1">
      <c r="A176" s="523"/>
      <c r="B176" s="523"/>
      <c r="C176" s="510"/>
      <c r="D176" s="510"/>
      <c r="E176" s="510"/>
      <c r="F176" s="510"/>
      <c r="G176" s="510"/>
      <c r="I176" s="524"/>
    </row>
    <row r="177" spans="1:9" ht="13.8" customHeight="1">
      <c r="A177" s="523"/>
      <c r="B177" s="519" t="s">
        <v>2720</v>
      </c>
      <c r="C177" s="510"/>
      <c r="D177" s="1277" t="s">
        <v>1176</v>
      </c>
      <c r="E177" s="1277"/>
      <c r="F177" s="1277"/>
      <c r="G177" s="510"/>
      <c r="I177" s="524" t="s">
        <v>2083</v>
      </c>
    </row>
    <row r="178" spans="1:9" ht="13.8" customHeight="1">
      <c r="A178" s="523"/>
      <c r="B178" s="523"/>
      <c r="C178" s="510"/>
      <c r="D178" s="1277"/>
      <c r="E178" s="1277"/>
      <c r="F178" s="1277"/>
      <c r="G178" s="510"/>
      <c r="I178" s="524"/>
    </row>
    <row r="179" spans="1:9" ht="13.8" customHeight="1">
      <c r="A179" s="523"/>
      <c r="B179" s="523"/>
      <c r="C179" s="510"/>
      <c r="D179" s="1277"/>
      <c r="E179" s="1277"/>
      <c r="F179" s="1277"/>
      <c r="G179" s="510"/>
      <c r="I179" s="524"/>
    </row>
    <row r="180" spans="1:9" ht="13.8" customHeight="1">
      <c r="A180" s="523"/>
      <c r="B180" s="523"/>
      <c r="C180" s="510"/>
      <c r="D180" s="1277"/>
      <c r="E180" s="1277"/>
      <c r="F180" s="1277"/>
      <c r="G180" s="510"/>
      <c r="I180" s="524"/>
    </row>
    <row r="181" spans="1:9" ht="13.8" customHeight="1">
      <c r="D181" s="480"/>
      <c r="E181" s="480"/>
      <c r="F181" s="480"/>
      <c r="I181" s="524"/>
    </row>
    <row r="182" spans="1:9" ht="13.8" customHeight="1">
      <c r="B182" s="519" t="s">
        <v>2720</v>
      </c>
      <c r="D182" s="1282" t="s">
        <v>2359</v>
      </c>
      <c r="E182" s="1282"/>
      <c r="F182" s="1282"/>
      <c r="I182" s="524" t="s">
        <v>2084</v>
      </c>
    </row>
    <row r="183" spans="1:9" ht="13.8" customHeight="1">
      <c r="D183" s="1282"/>
      <c r="E183" s="1282"/>
      <c r="F183" s="1282"/>
      <c r="I183" s="524"/>
    </row>
    <row r="184" spans="1:9" ht="13.8" customHeight="1">
      <c r="D184" s="1282"/>
      <c r="E184" s="1282"/>
      <c r="F184" s="1282"/>
      <c r="I184" s="524"/>
    </row>
    <row r="185" spans="1:9" ht="13.8" customHeight="1">
      <c r="A185" s="524"/>
      <c r="B185" s="524"/>
      <c r="E185" s="480"/>
      <c r="F185" s="480"/>
      <c r="I185" s="524"/>
    </row>
    <row r="186" spans="1:9">
      <c r="A186" s="1283" t="s">
        <v>2360</v>
      </c>
      <c r="B186" s="1283"/>
      <c r="C186" s="1283"/>
      <c r="D186" s="1283"/>
      <c r="E186" s="1283"/>
      <c r="F186" s="1283"/>
      <c r="G186" s="1283"/>
      <c r="H186" s="1063"/>
      <c r="I186" s="1256"/>
    </row>
    <row r="187" spans="1:9" ht="12" customHeight="1">
      <c r="D187" s="480"/>
      <c r="E187" s="480"/>
      <c r="F187" s="480"/>
      <c r="I187" s="524"/>
    </row>
    <row r="188" spans="1:9">
      <c r="B188" s="1298" t="s">
        <v>448</v>
      </c>
      <c r="C188" s="1298"/>
      <c r="D188" s="1298"/>
      <c r="E188" s="1298"/>
      <c r="F188" s="1298"/>
      <c r="I188" s="524"/>
    </row>
    <row r="189" spans="1:9">
      <c r="B189" s="423" t="s">
        <v>2063</v>
      </c>
      <c r="C189" s="423"/>
      <c r="D189" s="423"/>
      <c r="E189" s="423"/>
      <c r="F189" s="423"/>
      <c r="I189" s="524"/>
    </row>
    <row r="190" spans="1:9" ht="12" customHeight="1">
      <c r="A190" s="516"/>
      <c r="B190" s="516"/>
      <c r="C190" s="516"/>
      <c r="I190" s="524"/>
    </row>
    <row r="191" spans="1:9">
      <c r="A191" s="1283" t="s">
        <v>1072</v>
      </c>
      <c r="B191" s="1283"/>
      <c r="C191" s="1283"/>
      <c r="D191" s="1283"/>
      <c r="E191" s="1283"/>
      <c r="F191" s="1283"/>
      <c r="G191" s="1283"/>
      <c r="H191" s="1063"/>
      <c r="I191" s="1256"/>
    </row>
    <row r="192" spans="1:9" ht="12" customHeight="1">
      <c r="A192" s="435"/>
      <c r="B192" s="435"/>
      <c r="E192" s="435"/>
      <c r="I192" s="524"/>
    </row>
    <row r="193" spans="1:9" ht="13.8" customHeight="1">
      <c r="A193" s="435"/>
      <c r="B193" s="435"/>
      <c r="D193" s="1297" t="s">
        <v>1933</v>
      </c>
      <c r="E193" s="1297"/>
      <c r="F193" s="1297"/>
      <c r="I193" s="524"/>
    </row>
    <row r="194" spans="1:9">
      <c r="A194" s="435"/>
      <c r="B194" s="435"/>
      <c r="D194" s="1297"/>
      <c r="E194" s="1297"/>
      <c r="F194" s="1297"/>
      <c r="I194" s="524"/>
    </row>
    <row r="195" spans="1:9">
      <c r="A195" s="435"/>
      <c r="B195" s="435"/>
      <c r="D195" s="1298" t="s">
        <v>1300</v>
      </c>
      <c r="E195" s="1298"/>
      <c r="F195" s="1298"/>
      <c r="I195" s="524"/>
    </row>
    <row r="196" spans="1:9">
      <c r="A196" s="435"/>
      <c r="B196" s="435"/>
      <c r="D196" s="423"/>
      <c r="E196" s="423"/>
      <c r="F196" s="423"/>
      <c r="I196" s="524"/>
    </row>
    <row r="197" spans="1:9">
      <c r="A197" s="435"/>
      <c r="B197" s="519" t="s">
        <v>2719</v>
      </c>
      <c r="D197" s="1279" t="s">
        <v>1934</v>
      </c>
      <c r="E197" s="1279"/>
      <c r="F197" s="1279"/>
      <c r="I197" s="524" t="s">
        <v>2133</v>
      </c>
    </row>
    <row r="198" spans="1:9">
      <c r="A198" s="435"/>
      <c r="B198" s="435"/>
      <c r="D198" s="1311" t="s">
        <v>2196</v>
      </c>
      <c r="E198" s="1311"/>
      <c r="F198" s="1311"/>
      <c r="I198" s="524"/>
    </row>
    <row r="199" spans="1:9">
      <c r="A199" s="435"/>
      <c r="B199" s="435"/>
      <c r="D199" s="96" t="s">
        <v>1935</v>
      </c>
      <c r="E199" s="1343" t="s">
        <v>2219</v>
      </c>
      <c r="F199" s="1343"/>
      <c r="I199" s="524"/>
    </row>
    <row r="200" spans="1:9">
      <c r="A200" s="435"/>
      <c r="B200" s="435"/>
      <c r="D200" s="3"/>
      <c r="E200" s="3"/>
      <c r="F200" s="3"/>
      <c r="I200" s="524"/>
    </row>
    <row r="201" spans="1:9">
      <c r="A201" s="435"/>
      <c r="B201" s="519" t="s">
        <v>2720</v>
      </c>
      <c r="D201" s="1311" t="s">
        <v>1936</v>
      </c>
      <c r="E201" s="1311"/>
      <c r="F201" s="1311"/>
      <c r="I201" s="524" t="s">
        <v>2134</v>
      </c>
    </row>
    <row r="202" spans="1:9">
      <c r="A202" s="435"/>
      <c r="B202" s="435"/>
      <c r="D202" s="1279" t="s">
        <v>2196</v>
      </c>
      <c r="E202" s="1279"/>
      <c r="F202" s="1279"/>
      <c r="I202" s="524"/>
    </row>
    <row r="203" spans="1:9">
      <c r="A203" s="435"/>
      <c r="B203" s="435"/>
      <c r="D203" s="57" t="s">
        <v>1937</v>
      </c>
      <c r="E203" s="1343" t="s">
        <v>2220</v>
      </c>
      <c r="F203" s="1343"/>
      <c r="I203" s="524"/>
    </row>
    <row r="204" spans="1:9">
      <c r="A204" s="435"/>
      <c r="B204" s="435"/>
      <c r="D204" s="3"/>
      <c r="E204" s="3"/>
      <c r="F204" s="3"/>
      <c r="I204" s="524"/>
    </row>
    <row r="205" spans="1:9">
      <c r="A205" s="435"/>
      <c r="B205" s="519" t="s">
        <v>2720</v>
      </c>
      <c r="D205" s="1311" t="s">
        <v>1938</v>
      </c>
      <c r="E205" s="1311"/>
      <c r="F205" s="1311"/>
      <c r="I205" s="524" t="s">
        <v>2135</v>
      </c>
    </row>
    <row r="206" spans="1:9">
      <c r="A206" s="435"/>
      <c r="B206" s="435"/>
      <c r="D206" s="1279" t="s">
        <v>2196</v>
      </c>
      <c r="E206" s="1279"/>
      <c r="F206" s="1279"/>
      <c r="I206" s="524"/>
    </row>
    <row r="207" spans="1:9">
      <c r="A207" s="435"/>
      <c r="B207" s="435"/>
      <c r="D207" s="57" t="s">
        <v>1935</v>
      </c>
      <c r="E207" s="1343" t="s">
        <v>2221</v>
      </c>
      <c r="F207" s="1343"/>
      <c r="I207" s="524"/>
    </row>
    <row r="208" spans="1:9">
      <c r="A208" s="435"/>
      <c r="B208" s="435"/>
      <c r="D208" s="423"/>
      <c r="E208" s="423"/>
      <c r="F208" s="423"/>
      <c r="I208" s="524"/>
    </row>
    <row r="209" spans="1:9" ht="14.25" customHeight="1">
      <c r="A209" s="518"/>
      <c r="B209" s="519" t="s">
        <v>2720</v>
      </c>
      <c r="D209" s="417" t="s">
        <v>2189</v>
      </c>
      <c r="E209" s="416"/>
      <c r="F209" s="416"/>
      <c r="I209" s="524" t="s">
        <v>2136</v>
      </c>
    </row>
    <row r="210" spans="1:9" ht="14.4">
      <c r="A210" s="518"/>
      <c r="B210" s="518"/>
      <c r="D210" s="1279" t="s">
        <v>2196</v>
      </c>
      <c r="E210" s="1279"/>
      <c r="F210" s="1279"/>
      <c r="I210" s="524"/>
    </row>
    <row r="211" spans="1:9">
      <c r="D211" s="416"/>
      <c r="E211" s="1343" t="s">
        <v>2222</v>
      </c>
      <c r="F211" s="1343"/>
      <c r="I211" s="524"/>
    </row>
    <row r="212" spans="1:9">
      <c r="D212" s="481"/>
      <c r="I212" s="524"/>
    </row>
    <row r="213" spans="1:9">
      <c r="B213" s="519" t="s">
        <v>2720</v>
      </c>
      <c r="D213" s="1311" t="s">
        <v>1939</v>
      </c>
      <c r="E213" s="1311"/>
      <c r="F213" s="1311"/>
      <c r="I213" s="524" t="s">
        <v>2137</v>
      </c>
    </row>
    <row r="214" spans="1:9">
      <c r="D214" s="1279" t="s">
        <v>2196</v>
      </c>
      <c r="E214" s="1279"/>
      <c r="F214" s="1279"/>
      <c r="I214" s="524"/>
    </row>
    <row r="215" spans="1:9">
      <c r="D215" s="57" t="s">
        <v>1935</v>
      </c>
      <c r="E215" s="1343" t="s">
        <v>2223</v>
      </c>
      <c r="F215" s="1343"/>
      <c r="I215" s="524"/>
    </row>
    <row r="216" spans="1:9">
      <c r="D216" s="485"/>
      <c r="E216" s="485"/>
      <c r="F216" s="485"/>
      <c r="I216" s="524"/>
    </row>
    <row r="217" spans="1:9" ht="14.4">
      <c r="A217" s="518"/>
      <c r="B217" s="519" t="s">
        <v>2720</v>
      </c>
      <c r="D217" s="1295" t="s">
        <v>1321</v>
      </c>
      <c r="E217" s="1295"/>
      <c r="F217" s="1295"/>
      <c r="I217" s="524"/>
    </row>
    <row r="218" spans="1:9" ht="14.55" customHeight="1">
      <c r="A218" s="518"/>
      <c r="B218" s="433"/>
      <c r="D218" s="1295"/>
      <c r="E218" s="1295"/>
      <c r="F218" s="1295"/>
      <c r="I218" s="524"/>
    </row>
    <row r="219" spans="1:9" ht="14.4">
      <c r="A219" s="518"/>
      <c r="D219" s="1295"/>
      <c r="E219" s="1295"/>
      <c r="F219" s="1295"/>
      <c r="I219" s="524"/>
    </row>
    <row r="220" spans="1:9" ht="14.4">
      <c r="A220" s="518"/>
      <c r="D220" s="1295"/>
      <c r="E220" s="1295"/>
      <c r="F220" s="1295"/>
      <c r="I220" s="524"/>
    </row>
    <row r="221" spans="1:9">
      <c r="D221" s="485"/>
      <c r="E221" s="485"/>
      <c r="F221" s="485"/>
      <c r="I221" s="524"/>
    </row>
    <row r="222" spans="1:9">
      <c r="A222" s="1283" t="s">
        <v>1073</v>
      </c>
      <c r="B222" s="1283"/>
      <c r="C222" s="1283"/>
      <c r="D222" s="1283"/>
      <c r="E222" s="1283"/>
      <c r="F222" s="1283"/>
      <c r="G222" s="1283"/>
      <c r="H222" s="1063"/>
      <c r="I222" s="1256"/>
    </row>
    <row r="223" spans="1:9" ht="12" customHeight="1">
      <c r="D223" s="480"/>
      <c r="E223" s="480"/>
      <c r="F223" s="480"/>
      <c r="I223" s="524"/>
    </row>
    <row r="224" spans="1:9">
      <c r="C224" s="520"/>
      <c r="D224" s="1294" t="s">
        <v>209</v>
      </c>
      <c r="E224" s="1294"/>
      <c r="F224" s="1294"/>
      <c r="I224" s="524"/>
    </row>
    <row r="225" spans="1:9">
      <c r="A225" s="516"/>
      <c r="B225" s="516"/>
      <c r="C225" s="516"/>
      <c r="D225" s="1296" t="s">
        <v>1202</v>
      </c>
      <c r="E225" s="1296"/>
      <c r="F225" s="1296"/>
      <c r="I225" s="524"/>
    </row>
    <row r="226" spans="1:9" ht="12" customHeight="1">
      <c r="A226" s="524"/>
      <c r="B226" s="524"/>
      <c r="C226" s="524"/>
      <c r="I226" s="524"/>
    </row>
    <row r="227" spans="1:9" ht="13.8" customHeight="1">
      <c r="A227" s="524"/>
      <c r="C227" s="524"/>
      <c r="D227" s="1294" t="s">
        <v>554</v>
      </c>
      <c r="E227" s="1294"/>
      <c r="F227" s="1294"/>
      <c r="I227" s="524" t="s">
        <v>2085</v>
      </c>
    </row>
    <row r="228" spans="1:9" ht="14.4">
      <c r="A228" s="518"/>
      <c r="B228" s="519" t="s">
        <v>2719</v>
      </c>
      <c r="D228" s="1295" t="s">
        <v>1940</v>
      </c>
      <c r="E228" s="1295"/>
      <c r="F228" s="1295"/>
      <c r="I228" s="524"/>
    </row>
    <row r="229" spans="1:9" ht="14.25" customHeight="1">
      <c r="A229" s="518"/>
      <c r="B229" s="518"/>
      <c r="D229" s="1295"/>
      <c r="E229" s="1295"/>
      <c r="F229" s="1295"/>
      <c r="I229" s="524"/>
    </row>
    <row r="230" spans="1:9" ht="14.25" customHeight="1">
      <c r="A230" s="518"/>
      <c r="B230" s="518"/>
      <c r="D230" s="1295"/>
      <c r="E230" s="1295"/>
      <c r="F230" s="1295"/>
      <c r="I230" s="524"/>
    </row>
    <row r="231" spans="1:9" ht="14.4">
      <c r="A231" s="518"/>
      <c r="B231" s="518"/>
      <c r="D231" s="1295"/>
      <c r="E231" s="1295"/>
      <c r="F231" s="1295"/>
      <c r="I231" s="524"/>
    </row>
    <row r="232" spans="1:9" ht="14.4">
      <c r="A232" s="518"/>
      <c r="B232" s="518"/>
      <c r="D232" s="479"/>
      <c r="E232" s="479"/>
      <c r="F232" s="479"/>
      <c r="I232" s="524"/>
    </row>
    <row r="233" spans="1:9" ht="14.4">
      <c r="A233" s="518"/>
      <c r="B233" s="519" t="s">
        <v>2719</v>
      </c>
      <c r="D233" s="1295" t="s">
        <v>1941</v>
      </c>
      <c r="E233" s="1295"/>
      <c r="F233" s="1295"/>
      <c r="I233" s="524" t="s">
        <v>2086</v>
      </c>
    </row>
    <row r="234" spans="1:9" ht="14.4">
      <c r="A234" s="518"/>
      <c r="B234" s="518"/>
      <c r="D234" s="1295"/>
      <c r="E234" s="1295"/>
      <c r="F234" s="1295"/>
      <c r="I234" s="524"/>
    </row>
    <row r="235" spans="1:9" ht="14.4">
      <c r="A235" s="518"/>
      <c r="B235" s="518"/>
      <c r="D235" s="1295"/>
      <c r="E235" s="1295"/>
      <c r="F235" s="1295"/>
      <c r="I235" s="524"/>
    </row>
    <row r="236" spans="1:9" ht="14.4">
      <c r="A236" s="518"/>
      <c r="B236" s="518"/>
      <c r="D236" s="1295"/>
      <c r="E236" s="1295"/>
      <c r="F236" s="1295"/>
      <c r="I236" s="524"/>
    </row>
    <row r="237" spans="1:9" ht="14.25" customHeight="1">
      <c r="A237" s="518"/>
      <c r="B237" s="518"/>
      <c r="D237" s="1295"/>
      <c r="E237" s="1295"/>
      <c r="F237" s="1295"/>
      <c r="I237" s="524"/>
    </row>
    <row r="238" spans="1:9" ht="14.25" customHeight="1">
      <c r="A238" s="518"/>
      <c r="B238" s="518"/>
      <c r="D238" s="479"/>
      <c r="E238" s="479"/>
      <c r="F238" s="479"/>
      <c r="I238" s="524"/>
    </row>
    <row r="239" spans="1:9" ht="14.4">
      <c r="A239" s="518"/>
      <c r="B239" s="518"/>
      <c r="D239" s="1295" t="s">
        <v>1198</v>
      </c>
      <c r="E239" s="1295"/>
      <c r="F239" s="1295"/>
      <c r="I239" s="524" t="s">
        <v>2085</v>
      </c>
    </row>
    <row r="240" spans="1:9" ht="14.4">
      <c r="A240" s="518"/>
      <c r="B240" s="518"/>
      <c r="D240" s="1295"/>
      <c r="E240" s="1295"/>
      <c r="F240" s="1295"/>
      <c r="I240" s="524"/>
    </row>
    <row r="241" spans="1:9" ht="14.4">
      <c r="A241" s="518"/>
      <c r="B241" s="518"/>
      <c r="D241" s="1295"/>
      <c r="E241" s="1295"/>
      <c r="F241" s="1295"/>
      <c r="I241" s="524"/>
    </row>
    <row r="242" spans="1:9" ht="14.4">
      <c r="A242" s="518"/>
      <c r="B242" s="518"/>
      <c r="D242" s="1295"/>
      <c r="E242" s="1295"/>
      <c r="F242" s="1295"/>
      <c r="I242" s="524"/>
    </row>
    <row r="243" spans="1:9" ht="14.4">
      <c r="A243" s="518"/>
      <c r="B243" s="518"/>
      <c r="D243" s="1295"/>
      <c r="E243" s="1295"/>
      <c r="F243" s="1295"/>
      <c r="I243" s="524"/>
    </row>
    <row r="244" spans="1:9" ht="14.4">
      <c r="A244" s="518"/>
      <c r="B244" s="518"/>
      <c r="D244" s="480"/>
      <c r="E244" s="480"/>
      <c r="F244" s="480"/>
      <c r="I244" s="524"/>
    </row>
    <row r="245" spans="1:9" ht="14.4">
      <c r="A245" s="518"/>
      <c r="B245" s="519" t="s">
        <v>2719</v>
      </c>
      <c r="D245" s="1295" t="s">
        <v>2361</v>
      </c>
      <c r="E245" s="1295"/>
      <c r="F245" s="1295"/>
      <c r="I245" s="524" t="s">
        <v>2124</v>
      </c>
    </row>
    <row r="246" spans="1:9" ht="14.4">
      <c r="A246" s="518"/>
      <c r="B246" s="518"/>
      <c r="D246" s="1295"/>
      <c r="E246" s="1295"/>
      <c r="F246" s="1295"/>
      <c r="I246" s="524"/>
    </row>
    <row r="247" spans="1:9" ht="14.4">
      <c r="A247" s="518"/>
      <c r="B247" s="518"/>
      <c r="D247" s="1295"/>
      <c r="E247" s="1295"/>
      <c r="F247" s="1295"/>
      <c r="I247" s="524"/>
    </row>
    <row r="248" spans="1:9" ht="14.4">
      <c r="A248" s="518"/>
      <c r="B248" s="518"/>
      <c r="E248" s="1071" t="s">
        <v>2190</v>
      </c>
      <c r="I248" s="524"/>
    </row>
    <row r="249" spans="1:9" ht="14.4">
      <c r="A249" s="518"/>
      <c r="B249" s="518"/>
      <c r="D249" s="480"/>
      <c r="E249" s="480"/>
      <c r="F249" s="480"/>
      <c r="I249" s="524"/>
    </row>
    <row r="250" spans="1:9" ht="14.55" customHeight="1">
      <c r="A250" s="518"/>
      <c r="B250" s="519" t="s">
        <v>2720</v>
      </c>
      <c r="D250" s="1295" t="s">
        <v>2362</v>
      </c>
      <c r="E250" s="1295"/>
      <c r="F250" s="1295"/>
      <c r="I250" s="524" t="s">
        <v>2142</v>
      </c>
    </row>
    <row r="251" spans="1:9" ht="14.4">
      <c r="A251" s="518"/>
      <c r="B251" s="518"/>
      <c r="D251" s="1295"/>
      <c r="E251" s="1295"/>
      <c r="F251" s="1295"/>
      <c r="I251" s="524"/>
    </row>
    <row r="252" spans="1:9" ht="14.4">
      <c r="A252" s="518"/>
      <c r="B252" s="518"/>
      <c r="D252" s="1295"/>
      <c r="E252" s="1295"/>
      <c r="F252" s="1295"/>
      <c r="I252" s="524"/>
    </row>
    <row r="253" spans="1:9" ht="14.4">
      <c r="A253" s="518"/>
      <c r="B253" s="518"/>
      <c r="D253" s="1295"/>
      <c r="E253" s="1295"/>
      <c r="F253" s="1295"/>
      <c r="I253" s="524"/>
    </row>
    <row r="254" spans="1:9" ht="14.4">
      <c r="A254" s="518"/>
      <c r="B254" s="518"/>
      <c r="D254" s="1295"/>
      <c r="E254" s="1295"/>
      <c r="F254" s="1295"/>
      <c r="I254" s="524"/>
    </row>
    <row r="255" spans="1:9" ht="14.4">
      <c r="A255" s="518"/>
      <c r="B255" s="518"/>
      <c r="D255" s="479"/>
      <c r="E255" s="479"/>
      <c r="F255" s="479"/>
      <c r="I255" s="524"/>
    </row>
    <row r="256" spans="1:9" ht="14.4">
      <c r="A256" s="518"/>
      <c r="B256" s="519" t="s">
        <v>2719</v>
      </c>
      <c r="D256" s="423" t="s">
        <v>2363</v>
      </c>
      <c r="E256" s="479"/>
      <c r="F256" s="479"/>
      <c r="I256" s="524" t="s">
        <v>2123</v>
      </c>
    </row>
    <row r="257" spans="1:9" ht="14.4">
      <c r="A257" s="518"/>
      <c r="B257" s="518"/>
      <c r="E257" s="1071" t="s">
        <v>2191</v>
      </c>
      <c r="I257" s="524"/>
    </row>
    <row r="258" spans="1:9">
      <c r="D258" s="480"/>
      <c r="E258" s="480"/>
      <c r="F258" s="480"/>
      <c r="I258" s="524"/>
    </row>
    <row r="259" spans="1:9" ht="14.4">
      <c r="A259" s="518"/>
      <c r="B259" s="519" t="s">
        <v>2719</v>
      </c>
      <c r="D259" s="1295" t="s">
        <v>1200</v>
      </c>
      <c r="E259" s="1295"/>
      <c r="F259" s="1295"/>
      <c r="I259" s="524"/>
    </row>
    <row r="260" spans="1:9" ht="14.4">
      <c r="A260" s="518"/>
      <c r="B260" s="518"/>
      <c r="D260" s="1295"/>
      <c r="E260" s="1295"/>
      <c r="F260" s="1295"/>
      <c r="I260" s="524"/>
    </row>
    <row r="261" spans="1:9">
      <c r="D261" s="525"/>
      <c r="I261" s="524"/>
    </row>
    <row r="262" spans="1:9">
      <c r="A262" s="1283" t="s">
        <v>1074</v>
      </c>
      <c r="B262" s="1283"/>
      <c r="C262" s="1283"/>
      <c r="D262" s="1283"/>
      <c r="E262" s="1283"/>
      <c r="F262" s="1283"/>
      <c r="G262" s="1283"/>
      <c r="H262" s="1063"/>
      <c r="I262" s="1256"/>
    </row>
    <row r="263" spans="1:9">
      <c r="D263" s="525"/>
      <c r="I263" s="524"/>
    </row>
    <row r="264" spans="1:9">
      <c r="C264" s="520"/>
      <c r="D264" s="1294" t="s">
        <v>1203</v>
      </c>
      <c r="E264" s="1294"/>
      <c r="F264" s="1294"/>
      <c r="I264" s="524"/>
    </row>
    <row r="265" spans="1:9">
      <c r="A265" s="516"/>
      <c r="B265" s="516"/>
      <c r="C265" s="516"/>
      <c r="D265" s="480"/>
      <c r="E265" s="480"/>
      <c r="F265" s="480"/>
      <c r="I265" s="524"/>
    </row>
    <row r="266" spans="1:9">
      <c r="A266" s="517"/>
      <c r="B266" s="517"/>
      <c r="C266" s="517"/>
      <c r="D266" s="1294" t="s">
        <v>270</v>
      </c>
      <c r="E266" s="1294"/>
      <c r="F266" s="1294"/>
      <c r="I266" s="524" t="s">
        <v>2125</v>
      </c>
    </row>
    <row r="267" spans="1:9" ht="14.55" customHeight="1">
      <c r="A267" s="518"/>
      <c r="B267" s="519" t="s">
        <v>2719</v>
      </c>
      <c r="D267" s="1295" t="s">
        <v>1301</v>
      </c>
      <c r="E267" s="1295"/>
      <c r="F267" s="1295"/>
      <c r="I267" s="524"/>
    </row>
    <row r="268" spans="1:9">
      <c r="D268" s="1295"/>
      <c r="E268" s="1295"/>
      <c r="F268" s="1295"/>
      <c r="I268" s="524"/>
    </row>
    <row r="269" spans="1:9">
      <c r="E269" s="1071" t="s">
        <v>2192</v>
      </c>
      <c r="I269" s="524"/>
    </row>
    <row r="270" spans="1:9">
      <c r="D270" s="480"/>
      <c r="E270" s="480"/>
      <c r="F270" s="480"/>
      <c r="I270" s="524"/>
    </row>
    <row r="271" spans="1:9" ht="14.55" customHeight="1">
      <c r="A271" s="518"/>
      <c r="B271" s="519" t="s">
        <v>2720</v>
      </c>
      <c r="D271" s="1295" t="s">
        <v>2364</v>
      </c>
      <c r="E271" s="1295"/>
      <c r="F271" s="1295"/>
      <c r="I271" s="524" t="s">
        <v>2143</v>
      </c>
    </row>
    <row r="272" spans="1:9">
      <c r="D272" s="1295"/>
      <c r="E272" s="1295"/>
      <c r="F272" s="1295"/>
      <c r="I272" s="524"/>
    </row>
    <row r="273" spans="1:9">
      <c r="D273" s="1295"/>
      <c r="E273" s="1295"/>
      <c r="F273" s="1295"/>
      <c r="I273" s="524"/>
    </row>
    <row r="274" spans="1:9">
      <c r="D274" s="1295"/>
      <c r="E274" s="1295"/>
      <c r="F274" s="1295"/>
      <c r="I274" s="524"/>
    </row>
    <row r="275" spans="1:9">
      <c r="D275" s="1295"/>
      <c r="E275" s="1295"/>
      <c r="F275" s="1295"/>
      <c r="I275" s="524"/>
    </row>
    <row r="276" spans="1:9">
      <c r="D276" s="1295"/>
      <c r="E276" s="1295"/>
      <c r="F276" s="1295"/>
      <c r="I276" s="524"/>
    </row>
    <row r="277" spans="1:9">
      <c r="D277" s="480"/>
      <c r="E277" s="480"/>
      <c r="F277" s="480"/>
      <c r="I277" s="524"/>
    </row>
    <row r="278" spans="1:9" ht="14.4">
      <c r="A278" s="518"/>
      <c r="B278" s="519" t="s">
        <v>2720</v>
      </c>
      <c r="D278" s="1295" t="s">
        <v>1206</v>
      </c>
      <c r="E278" s="1295"/>
      <c r="F278" s="1295"/>
      <c r="I278" s="524"/>
    </row>
    <row r="279" spans="1:9">
      <c r="D279" s="1295"/>
      <c r="E279" s="1295"/>
      <c r="F279" s="1295"/>
      <c r="I279" s="524"/>
    </row>
    <row r="280" spans="1:9">
      <c r="D280" s="1295"/>
      <c r="E280" s="1295"/>
      <c r="F280" s="1295"/>
      <c r="I280" s="524"/>
    </row>
    <row r="281" spans="1:9">
      <c r="D281" s="526"/>
      <c r="E281" s="480"/>
      <c r="F281" s="480"/>
      <c r="I281" s="524"/>
    </row>
    <row r="282" spans="1:9">
      <c r="A282" s="1283" t="s">
        <v>1075</v>
      </c>
      <c r="B282" s="1283"/>
      <c r="C282" s="1283"/>
      <c r="D282" s="1283"/>
      <c r="E282" s="1283"/>
      <c r="F282" s="1283"/>
      <c r="G282" s="1283"/>
      <c r="H282" s="1063"/>
      <c r="I282" s="1256"/>
    </row>
    <row r="283" spans="1:9">
      <c r="D283" s="526"/>
      <c r="E283" s="480"/>
      <c r="F283" s="480"/>
      <c r="I283" s="524"/>
    </row>
    <row r="284" spans="1:9">
      <c r="C284" s="516"/>
      <c r="D284" s="1297" t="s">
        <v>1208</v>
      </c>
      <c r="E284" s="1297"/>
      <c r="F284" s="1297"/>
      <c r="I284" s="524"/>
    </row>
    <row r="285" spans="1:9">
      <c r="C285" s="516"/>
      <c r="D285" s="1297"/>
      <c r="E285" s="1297"/>
      <c r="F285" s="1297"/>
      <c r="I285" s="524"/>
    </row>
    <row r="286" spans="1:9">
      <c r="A286" s="517"/>
      <c r="B286" s="517"/>
      <c r="C286" s="517"/>
      <c r="D286" s="435"/>
      <c r="I286" s="524"/>
    </row>
    <row r="287" spans="1:9">
      <c r="C287" s="517"/>
      <c r="D287" s="1294" t="s">
        <v>210</v>
      </c>
      <c r="E287" s="1294"/>
      <c r="F287" s="1294"/>
      <c r="I287" s="524"/>
    </row>
    <row r="288" spans="1:9" ht="15.75" customHeight="1">
      <c r="A288" s="518"/>
      <c r="B288" s="518"/>
      <c r="D288" s="1346" t="s">
        <v>1209</v>
      </c>
      <c r="E288" s="1346"/>
      <c r="F288" s="1346"/>
      <c r="I288" s="524"/>
    </row>
    <row r="289" spans="1:9">
      <c r="E289" s="480"/>
      <c r="F289" s="480"/>
      <c r="I289" s="524"/>
    </row>
    <row r="290" spans="1:9" ht="14.4">
      <c r="A290" s="518"/>
      <c r="B290" s="519" t="s">
        <v>2720</v>
      </c>
      <c r="D290" s="1295" t="s">
        <v>1210</v>
      </c>
      <c r="E290" s="1295"/>
      <c r="F290" s="1295"/>
      <c r="I290" s="524" t="s">
        <v>2087</v>
      </c>
    </row>
    <row r="291" spans="1:9" ht="14.4">
      <c r="A291" s="518"/>
      <c r="B291" s="518"/>
      <c r="D291" s="1295"/>
      <c r="E291" s="1295"/>
      <c r="F291" s="1295"/>
      <c r="I291" s="524"/>
    </row>
    <row r="292" spans="1:9">
      <c r="D292" s="480"/>
      <c r="E292" s="480"/>
      <c r="F292" s="480"/>
      <c r="I292" s="524"/>
    </row>
    <row r="293" spans="1:9" ht="14.4">
      <c r="A293" s="518"/>
      <c r="B293" s="519" t="s">
        <v>2720</v>
      </c>
      <c r="D293" s="1295" t="s">
        <v>1211</v>
      </c>
      <c r="E293" s="1295"/>
      <c r="F293" s="1295"/>
      <c r="I293" s="524" t="s">
        <v>2087</v>
      </c>
    </row>
    <row r="294" spans="1:9" ht="14.4">
      <c r="A294" s="518"/>
      <c r="B294" s="518"/>
      <c r="D294" s="1295"/>
      <c r="E294" s="1295"/>
      <c r="F294" s="1295"/>
      <c r="I294" s="524"/>
    </row>
    <row r="295" spans="1:9" ht="14.4">
      <c r="A295" s="518"/>
      <c r="B295" s="518"/>
      <c r="D295" s="1295"/>
      <c r="E295" s="1295"/>
      <c r="F295" s="1295"/>
      <c r="I295" s="524"/>
    </row>
    <row r="296" spans="1:9">
      <c r="D296" s="480"/>
      <c r="E296" s="480"/>
      <c r="F296" s="480"/>
      <c r="I296" s="524"/>
    </row>
    <row r="297" spans="1:9" ht="14.4">
      <c r="A297" s="518"/>
      <c r="B297" s="519" t="s">
        <v>2720</v>
      </c>
      <c r="D297" s="1295" t="s">
        <v>1212</v>
      </c>
      <c r="E297" s="1295"/>
      <c r="F297" s="1295"/>
      <c r="I297" s="524" t="s">
        <v>2087</v>
      </c>
    </row>
    <row r="298" spans="1:9" ht="14.4">
      <c r="A298" s="518"/>
      <c r="B298" s="518"/>
      <c r="D298" s="1295"/>
      <c r="E298" s="1295"/>
      <c r="F298" s="1295"/>
      <c r="I298" s="524"/>
    </row>
    <row r="299" spans="1:9">
      <c r="A299" s="524"/>
      <c r="B299" s="524"/>
      <c r="E299" s="480"/>
      <c r="F299" s="480"/>
      <c r="I299" s="524"/>
    </row>
    <row r="300" spans="1:9">
      <c r="A300" s="1283" t="s">
        <v>1076</v>
      </c>
      <c r="B300" s="1283"/>
      <c r="C300" s="1283"/>
      <c r="D300" s="1283"/>
      <c r="E300" s="1283"/>
      <c r="F300" s="1283"/>
      <c r="G300" s="1283"/>
      <c r="H300" s="1063"/>
      <c r="I300" s="1256"/>
    </row>
    <row r="301" spans="1:9">
      <c r="A301" s="524"/>
      <c r="B301" s="524"/>
      <c r="D301" s="480"/>
      <c r="E301" s="480"/>
      <c r="F301" s="480"/>
      <c r="I301" s="524"/>
    </row>
    <row r="302" spans="1:9">
      <c r="C302" s="524"/>
      <c r="D302" s="1294" t="s">
        <v>689</v>
      </c>
      <c r="E302" s="1294"/>
      <c r="F302" s="1294"/>
      <c r="I302" s="524"/>
    </row>
    <row r="303" spans="1:9">
      <c r="C303" s="524"/>
      <c r="D303" s="1296" t="s">
        <v>1213</v>
      </c>
      <c r="E303" s="1296"/>
      <c r="F303" s="1296"/>
      <c r="I303" s="524"/>
    </row>
    <row r="304" spans="1:9">
      <c r="C304" s="524"/>
      <c r="D304" s="527"/>
      <c r="I304" s="524"/>
    </row>
    <row r="305" spans="1:9">
      <c r="B305" s="519" t="s">
        <v>2720</v>
      </c>
      <c r="D305" s="1296" t="s">
        <v>1214</v>
      </c>
      <c r="E305" s="1296"/>
      <c r="F305" s="1296"/>
      <c r="I305" s="524" t="s">
        <v>2088</v>
      </c>
    </row>
    <row r="306" spans="1:9" ht="14.4">
      <c r="A306" s="518"/>
      <c r="B306" s="518"/>
      <c r="D306" s="528"/>
      <c r="E306" s="529"/>
      <c r="F306" s="529"/>
      <c r="I306" s="524"/>
    </row>
    <row r="307" spans="1:9" ht="13.8" customHeight="1">
      <c r="B307" s="519" t="s">
        <v>2720</v>
      </c>
      <c r="D307" s="1349" t="s">
        <v>1324</v>
      </c>
      <c r="E307" s="1349"/>
      <c r="F307" s="1349"/>
      <c r="I307" s="524" t="s">
        <v>2088</v>
      </c>
    </row>
    <row r="308" spans="1:9" ht="14.4">
      <c r="A308" s="518"/>
      <c r="B308" s="518"/>
      <c r="D308" s="1349"/>
      <c r="E308" s="1349"/>
      <c r="F308" s="1349"/>
      <c r="I308" s="524"/>
    </row>
    <row r="309" spans="1:9" ht="14.4">
      <c r="A309" s="518"/>
      <c r="B309" s="518"/>
      <c r="D309" s="1349"/>
      <c r="E309" s="1349"/>
      <c r="F309" s="1349"/>
      <c r="I309" s="524"/>
    </row>
    <row r="310" spans="1:9" ht="14.4">
      <c r="A310" s="518"/>
      <c r="B310" s="518"/>
      <c r="D310" s="1349"/>
      <c r="E310" s="1349"/>
      <c r="F310" s="1349"/>
      <c r="I310" s="524"/>
    </row>
    <row r="311" spans="1:9" ht="14.4">
      <c r="A311" s="518"/>
      <c r="B311" s="518"/>
      <c r="D311" s="1349"/>
      <c r="E311" s="1349"/>
      <c r="F311" s="1349"/>
      <c r="I311" s="524"/>
    </row>
    <row r="312" spans="1:9" ht="14.4">
      <c r="A312" s="518"/>
      <c r="B312" s="518"/>
      <c r="D312" s="528"/>
      <c r="E312" s="529"/>
      <c r="F312" s="529"/>
      <c r="I312" s="524"/>
    </row>
    <row r="313" spans="1:9" ht="13.8" customHeight="1">
      <c r="B313" s="519" t="s">
        <v>2720</v>
      </c>
      <c r="D313" s="1349" t="s">
        <v>1216</v>
      </c>
      <c r="E313" s="1349"/>
      <c r="F313" s="1349"/>
      <c r="I313" s="524" t="s">
        <v>2088</v>
      </c>
    </row>
    <row r="314" spans="1:9">
      <c r="D314" s="1349"/>
      <c r="E314" s="1349"/>
      <c r="F314" s="1349"/>
      <c r="I314" s="524"/>
    </row>
    <row r="315" spans="1:9" ht="14.4">
      <c r="A315" s="518"/>
      <c r="B315" s="518"/>
      <c r="D315" s="528"/>
      <c r="E315" s="529"/>
      <c r="F315" s="529"/>
      <c r="I315" s="524"/>
    </row>
    <row r="316" spans="1:9">
      <c r="B316" s="519" t="s">
        <v>2720</v>
      </c>
      <c r="D316" s="1296" t="s">
        <v>1217</v>
      </c>
      <c r="E316" s="1296"/>
      <c r="F316" s="1296"/>
      <c r="I316" s="524" t="s">
        <v>2074</v>
      </c>
    </row>
    <row r="317" spans="1:9">
      <c r="E317" s="480"/>
      <c r="F317" s="480"/>
      <c r="I317" s="524"/>
    </row>
    <row r="318" spans="1:9" ht="14.4">
      <c r="A318" s="518"/>
      <c r="B318" s="519" t="s">
        <v>2720</v>
      </c>
      <c r="D318" s="1295" t="s">
        <v>2383</v>
      </c>
      <c r="E318" s="1295"/>
      <c r="F318" s="1295"/>
      <c r="I318" s="524" t="s">
        <v>2089</v>
      </c>
    </row>
    <row r="319" spans="1:9" ht="14.4">
      <c r="A319" s="518"/>
      <c r="B319" s="518"/>
      <c r="D319" s="1295"/>
      <c r="E319" s="1295"/>
      <c r="F319" s="1295"/>
      <c r="I319" s="524"/>
    </row>
    <row r="320" spans="1:9" ht="14.4">
      <c r="A320" s="518"/>
      <c r="B320" s="518"/>
      <c r="D320" s="1295"/>
      <c r="E320" s="1295"/>
      <c r="F320" s="1295"/>
      <c r="I320" s="524"/>
    </row>
    <row r="321" spans="1:9" ht="14.4">
      <c r="A321" s="518"/>
      <c r="B321" s="518"/>
      <c r="D321" s="1295"/>
      <c r="E321" s="1295"/>
      <c r="F321" s="1295"/>
      <c r="I321" s="524"/>
    </row>
    <row r="322" spans="1:9" ht="14.4">
      <c r="A322" s="518"/>
      <c r="B322" s="518"/>
      <c r="D322" s="1295"/>
      <c r="E322" s="1295"/>
      <c r="F322" s="1295"/>
      <c r="I322" s="524"/>
    </row>
    <row r="323" spans="1:9" ht="14.4">
      <c r="A323" s="518"/>
      <c r="B323" s="518"/>
      <c r="D323" s="1295"/>
      <c r="E323" s="1295"/>
      <c r="F323" s="1295"/>
      <c r="I323" s="524"/>
    </row>
    <row r="324" spans="1:9" ht="14.4">
      <c r="A324" s="518"/>
      <c r="B324" s="518"/>
      <c r="D324" s="1295"/>
      <c r="E324" s="1295"/>
      <c r="F324" s="1295"/>
      <c r="I324" s="524"/>
    </row>
    <row r="325" spans="1:9" ht="14.4">
      <c r="A325" s="518"/>
      <c r="B325" s="518"/>
      <c r="D325" s="1295"/>
      <c r="E325" s="1295"/>
      <c r="F325" s="1295"/>
      <c r="I325" s="524"/>
    </row>
    <row r="326" spans="1:9" ht="14.4">
      <c r="A326" s="518"/>
      <c r="B326" s="518"/>
      <c r="D326" s="1295"/>
      <c r="E326" s="1295"/>
      <c r="F326" s="1295"/>
      <c r="I326" s="524"/>
    </row>
    <row r="327" spans="1:9" ht="14.4">
      <c r="A327" s="518"/>
      <c r="B327" s="518"/>
      <c r="D327" s="1295"/>
      <c r="E327" s="1295"/>
      <c r="F327" s="1295"/>
      <c r="I327" s="524"/>
    </row>
    <row r="328" spans="1:9" ht="14.4">
      <c r="A328" s="518"/>
      <c r="B328" s="518"/>
      <c r="D328" s="1295"/>
      <c r="E328" s="1295"/>
      <c r="F328" s="1295"/>
      <c r="I328" s="524"/>
    </row>
    <row r="329" spans="1:9" ht="14.4">
      <c r="A329" s="518"/>
      <c r="B329" s="518"/>
      <c r="D329" s="1295"/>
      <c r="E329" s="1295"/>
      <c r="F329" s="1295"/>
      <c r="I329" s="524"/>
    </row>
    <row r="330" spans="1:9" ht="14.4">
      <c r="A330" s="518"/>
      <c r="B330" s="518"/>
      <c r="D330" s="1295"/>
      <c r="E330" s="1295"/>
      <c r="F330" s="1295"/>
      <c r="I330" s="524"/>
    </row>
    <row r="331" spans="1:9" ht="14.4">
      <c r="A331" s="518"/>
      <c r="B331" s="518"/>
      <c r="D331" s="1295"/>
      <c r="E331" s="1295"/>
      <c r="F331" s="1295"/>
      <c r="I331" s="524"/>
    </row>
    <row r="332" spans="1:9" ht="14.4">
      <c r="A332" s="518"/>
      <c r="B332" s="518"/>
      <c r="D332" s="1295"/>
      <c r="E332" s="1295"/>
      <c r="F332" s="1295"/>
      <c r="I332" s="524"/>
    </row>
    <row r="333" spans="1:9">
      <c r="D333" s="480"/>
      <c r="E333" s="480"/>
      <c r="F333" s="480"/>
      <c r="I333" s="524"/>
    </row>
    <row r="334" spans="1:9" ht="14.4">
      <c r="A334" s="518"/>
      <c r="B334" s="519" t="s">
        <v>2720</v>
      </c>
      <c r="D334" s="1295" t="s">
        <v>1219</v>
      </c>
      <c r="E334" s="1295"/>
      <c r="F334" s="1295"/>
      <c r="I334" s="524" t="s">
        <v>2089</v>
      </c>
    </row>
    <row r="335" spans="1:9">
      <c r="D335" s="1295"/>
      <c r="E335" s="1295"/>
      <c r="F335" s="1295"/>
      <c r="I335" s="524"/>
    </row>
    <row r="336" spans="1:9">
      <c r="D336" s="1295"/>
      <c r="E336" s="1295"/>
      <c r="F336" s="1295"/>
      <c r="I336" s="524"/>
    </row>
    <row r="337" spans="1:9">
      <c r="D337" s="1295"/>
      <c r="E337" s="1295"/>
      <c r="F337" s="1295"/>
      <c r="I337" s="524"/>
    </row>
    <row r="338" spans="1:9">
      <c r="D338" s="1295"/>
      <c r="E338" s="1295"/>
      <c r="F338" s="1295"/>
      <c r="I338" s="524"/>
    </row>
    <row r="339" spans="1:9">
      <c r="D339" s="1295"/>
      <c r="E339" s="1295"/>
      <c r="F339" s="1295"/>
      <c r="I339" s="524"/>
    </row>
    <row r="340" spans="1:9">
      <c r="D340" s="1295"/>
      <c r="E340" s="1295"/>
      <c r="F340" s="1295"/>
      <c r="I340" s="524"/>
    </row>
    <row r="341" spans="1:9">
      <c r="D341" s="1295"/>
      <c r="E341" s="1295"/>
      <c r="F341" s="1295"/>
      <c r="I341" s="524"/>
    </row>
    <row r="342" spans="1:9">
      <c r="D342" s="1295"/>
      <c r="E342" s="1295"/>
      <c r="F342" s="1295"/>
      <c r="I342" s="524"/>
    </row>
    <row r="343" spans="1:9">
      <c r="D343" s="480"/>
      <c r="E343" s="480"/>
      <c r="F343" s="480"/>
      <c r="I343" s="524"/>
    </row>
    <row r="344" spans="1:9" ht="14.25" customHeight="1">
      <c r="A344" s="518"/>
      <c r="B344" s="519" t="s">
        <v>2720</v>
      </c>
      <c r="D344" s="1295" t="s">
        <v>2197</v>
      </c>
      <c r="E344" s="1295"/>
      <c r="F344" s="1295"/>
      <c r="I344" s="524" t="s">
        <v>2126</v>
      </c>
    </row>
    <row r="345" spans="1:9">
      <c r="D345" s="1295"/>
      <c r="E345" s="1295"/>
      <c r="F345" s="1295"/>
      <c r="I345" s="524"/>
    </row>
    <row r="346" spans="1:9">
      <c r="D346" s="1295"/>
      <c r="E346" s="1295"/>
      <c r="F346" s="1295"/>
      <c r="I346" s="524"/>
    </row>
    <row r="347" spans="1:9">
      <c r="D347" s="1295"/>
      <c r="E347" s="1295"/>
      <c r="F347" s="1295"/>
      <c r="I347" s="524"/>
    </row>
    <row r="348" spans="1:9">
      <c r="D348" s="417" t="s">
        <v>2196</v>
      </c>
      <c r="E348" s="416"/>
      <c r="F348" s="416"/>
      <c r="I348" s="524"/>
    </row>
    <row r="349" spans="1:9">
      <c r="D349" s="416"/>
      <c r="E349" s="96" t="s">
        <v>2193</v>
      </c>
      <c r="G349" s="96"/>
      <c r="I349" s="524"/>
    </row>
    <row r="350" spans="1:9">
      <c r="D350" s="479"/>
      <c r="E350" s="479"/>
      <c r="F350" s="479"/>
      <c r="I350" s="524"/>
    </row>
    <row r="351" spans="1:9" ht="13.8" thickBot="1">
      <c r="A351" s="1057"/>
      <c r="B351" s="1057"/>
      <c r="C351" s="1057"/>
      <c r="D351" s="1345" t="s">
        <v>997</v>
      </c>
      <c r="E351" s="1345"/>
      <c r="F351" s="1345"/>
      <c r="G351" s="1062"/>
      <c r="H351" s="1062"/>
      <c r="I351" s="1259"/>
    </row>
    <row r="352" spans="1:9" ht="13.8" thickTop="1">
      <c r="D352" s="1350" t="s">
        <v>1221</v>
      </c>
      <c r="E352" s="1350"/>
      <c r="F352" s="1350"/>
      <c r="I352" s="524"/>
    </row>
    <row r="353" spans="1:9">
      <c r="D353" s="480"/>
      <c r="E353" s="480"/>
      <c r="F353" s="480"/>
      <c r="I353" s="524"/>
    </row>
    <row r="354" spans="1:9">
      <c r="A354" s="510"/>
      <c r="B354" s="510"/>
      <c r="C354" s="510"/>
      <c r="D354" s="481"/>
      <c r="E354" s="481"/>
      <c r="F354" s="480"/>
      <c r="I354" s="524" t="s">
        <v>2090</v>
      </c>
    </row>
    <row r="355" spans="1:9" ht="14.4">
      <c r="A355" s="518"/>
      <c r="B355" s="519" t="s">
        <v>2720</v>
      </c>
      <c r="C355" s="521"/>
      <c r="D355" s="1296" t="s">
        <v>2195</v>
      </c>
      <c r="E355" s="1296"/>
      <c r="F355" s="1296"/>
      <c r="I355" s="1352" t="s">
        <v>2140</v>
      </c>
    </row>
    <row r="356" spans="1:9" ht="12.75" customHeight="1">
      <c r="D356" s="1072"/>
      <c r="E356" s="96" t="s">
        <v>2194</v>
      </c>
      <c r="F356" s="1072"/>
      <c r="I356" s="1353"/>
    </row>
    <row r="357" spans="1:9">
      <c r="D357" s="1295" t="s">
        <v>1345</v>
      </c>
      <c r="E357" s="1295"/>
      <c r="F357" s="1295"/>
      <c r="I357" s="1353"/>
    </row>
    <row r="358" spans="1:9">
      <c r="D358" s="1295"/>
      <c r="E358" s="1295"/>
      <c r="F358" s="1295"/>
      <c r="I358" s="1353"/>
    </row>
    <row r="359" spans="1:9">
      <c r="D359" s="1295"/>
      <c r="E359" s="1295"/>
      <c r="F359" s="1295"/>
      <c r="I359" s="1354"/>
    </row>
    <row r="360" spans="1:9" ht="14.4">
      <c r="A360" s="518"/>
      <c r="B360" s="519" t="s">
        <v>2720</v>
      </c>
      <c r="C360" s="510"/>
      <c r="D360" s="1281" t="s">
        <v>2365</v>
      </c>
      <c r="E360" s="1281"/>
      <c r="F360" s="1281"/>
      <c r="I360" s="514"/>
    </row>
    <row r="361" spans="1:9">
      <c r="A361" s="510"/>
      <c r="B361" s="510"/>
      <c r="C361" s="510"/>
      <c r="D361" s="481"/>
      <c r="E361" s="481"/>
      <c r="F361" s="480"/>
      <c r="I361" s="524"/>
    </row>
    <row r="362" spans="1:9">
      <c r="A362" s="510"/>
      <c r="B362" s="519" t="s">
        <v>2720</v>
      </c>
      <c r="C362" s="510"/>
      <c r="D362" s="1277" t="s">
        <v>2366</v>
      </c>
      <c r="E362" s="1277"/>
      <c r="F362" s="1277"/>
      <c r="I362" s="524"/>
    </row>
    <row r="363" spans="1:9">
      <c r="A363" s="510"/>
      <c r="B363" s="510"/>
      <c r="C363" s="510"/>
      <c r="D363" s="1277"/>
      <c r="E363" s="1277"/>
      <c r="F363" s="1277"/>
      <c r="I363" s="524"/>
    </row>
    <row r="364" spans="1:9">
      <c r="A364" s="510"/>
      <c r="B364" s="510"/>
      <c r="C364" s="510"/>
      <c r="D364" s="1277"/>
      <c r="E364" s="1277"/>
      <c r="F364" s="1277"/>
      <c r="I364" s="524"/>
    </row>
    <row r="365" spans="1:9">
      <c r="A365" s="510"/>
      <c r="B365" s="510"/>
      <c r="C365" s="510"/>
      <c r="D365" s="1277"/>
      <c r="E365" s="1277"/>
      <c r="F365" s="1277"/>
      <c r="I365" s="524"/>
    </row>
    <row r="366" spans="1:9">
      <c r="A366" s="510"/>
      <c r="B366" s="510"/>
      <c r="C366" s="510"/>
      <c r="D366" s="1277"/>
      <c r="E366" s="1277"/>
      <c r="F366" s="1277"/>
      <c r="I366" s="524"/>
    </row>
    <row r="367" spans="1:9">
      <c r="A367" s="510"/>
      <c r="B367" s="510"/>
      <c r="C367" s="510"/>
      <c r="D367" s="1277"/>
      <c r="E367" s="1277"/>
      <c r="F367" s="1277"/>
      <c r="I367" s="524"/>
    </row>
    <row r="368" spans="1:9">
      <c r="A368" s="510"/>
      <c r="B368" s="510"/>
      <c r="C368" s="510"/>
      <c r="D368" s="1277"/>
      <c r="E368" s="1277"/>
      <c r="F368" s="1277"/>
      <c r="I368" s="524"/>
    </row>
    <row r="369" spans="1:9">
      <c r="A369" s="510"/>
      <c r="B369" s="510"/>
      <c r="C369" s="510"/>
      <c r="D369" s="1277"/>
      <c r="E369" s="1277"/>
      <c r="F369" s="1277"/>
      <c r="I369" s="524"/>
    </row>
    <row r="370" spans="1:9">
      <c r="A370" s="510"/>
      <c r="B370" s="510"/>
      <c r="C370" s="510"/>
      <c r="D370" s="1277"/>
      <c r="E370" s="1277"/>
      <c r="F370" s="1277"/>
      <c r="I370" s="524"/>
    </row>
    <row r="371" spans="1:9">
      <c r="A371" s="510"/>
      <c r="B371" s="510"/>
      <c r="C371" s="510"/>
      <c r="D371" s="1277"/>
      <c r="E371" s="1277"/>
      <c r="F371" s="1277"/>
      <c r="I371" s="524"/>
    </row>
    <row r="372" spans="1:9">
      <c r="A372" s="510"/>
      <c r="B372" s="510"/>
      <c r="C372" s="510"/>
      <c r="D372" s="1277"/>
      <c r="E372" s="1277"/>
      <c r="F372" s="1277"/>
      <c r="I372" s="524"/>
    </row>
    <row r="373" spans="1:9">
      <c r="A373" s="510"/>
      <c r="B373" s="510"/>
      <c r="C373" s="510"/>
      <c r="D373" s="1277"/>
      <c r="E373" s="1277"/>
      <c r="F373" s="1277"/>
      <c r="I373" s="524"/>
    </row>
    <row r="374" spans="1:9">
      <c r="A374" s="510"/>
      <c r="B374" s="510"/>
      <c r="C374" s="510"/>
      <c r="D374" s="485"/>
      <c r="E374" s="485"/>
      <c r="F374" s="485"/>
      <c r="I374" s="524"/>
    </row>
    <row r="375" spans="1:9" ht="12.45" customHeight="1">
      <c r="A375" s="510"/>
      <c r="B375" s="519" t="s">
        <v>2720</v>
      </c>
      <c r="C375" s="510"/>
      <c r="D375" s="1325" t="s">
        <v>1326</v>
      </c>
      <c r="E375" s="1325"/>
      <c r="F375" s="1325"/>
      <c r="I375" s="524"/>
    </row>
    <row r="376" spans="1:9">
      <c r="A376" s="510"/>
      <c r="B376" s="510"/>
      <c r="C376" s="510"/>
      <c r="D376" s="1325"/>
      <c r="E376" s="1325"/>
      <c r="F376" s="1325"/>
      <c r="I376" s="524"/>
    </row>
    <row r="377" spans="1:9">
      <c r="A377" s="510"/>
      <c r="B377" s="510"/>
      <c r="C377" s="510"/>
      <c r="D377" s="1325"/>
      <c r="E377" s="1325"/>
      <c r="F377" s="1325"/>
      <c r="I377" s="524"/>
    </row>
    <row r="378" spans="1:9">
      <c r="A378" s="510"/>
      <c r="B378" s="510"/>
      <c r="C378" s="510"/>
      <c r="D378" s="1325"/>
      <c r="E378" s="1325"/>
      <c r="F378" s="1325"/>
      <c r="I378" s="524"/>
    </row>
    <row r="379" spans="1:9">
      <c r="A379" s="510"/>
      <c r="B379" s="510"/>
      <c r="C379" s="510"/>
      <c r="D379" s="558"/>
      <c r="E379" s="558"/>
      <c r="F379" s="558"/>
      <c r="I379" s="524"/>
    </row>
    <row r="380" spans="1:9">
      <c r="A380" s="510"/>
      <c r="B380" s="519" t="s">
        <v>2720</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4">
      <c r="A387" s="518"/>
      <c r="B387" s="519" t="s">
        <v>2720</v>
      </c>
      <c r="C387" s="510"/>
      <c r="D387" s="1277" t="s">
        <v>1224</v>
      </c>
      <c r="E387" s="1277"/>
      <c r="F387" s="1277"/>
      <c r="I387" s="524"/>
    </row>
    <row r="388" spans="1:9">
      <c r="A388" s="510"/>
      <c r="B388" s="510"/>
      <c r="C388" s="510"/>
      <c r="D388" s="1277"/>
      <c r="E388" s="1277"/>
      <c r="F388" s="1277"/>
      <c r="I388" s="524"/>
    </row>
    <row r="389" spans="1:9">
      <c r="A389" s="510"/>
      <c r="B389" s="510"/>
      <c r="C389" s="510"/>
      <c r="D389" s="1277"/>
      <c r="E389" s="1277"/>
      <c r="F389" s="1277"/>
      <c r="I389" s="524"/>
    </row>
    <row r="390" spans="1:9">
      <c r="A390" s="510"/>
      <c r="B390" s="510"/>
      <c r="C390" s="510"/>
      <c r="D390" s="1277"/>
      <c r="E390" s="1277"/>
      <c r="F390" s="1277"/>
      <c r="I390" s="524"/>
    </row>
    <row r="391" spans="1:9">
      <c r="A391" s="510"/>
      <c r="B391" s="510"/>
      <c r="C391" s="510"/>
      <c r="D391" s="481"/>
      <c r="E391" s="481"/>
      <c r="F391" s="480"/>
      <c r="I391" s="524"/>
    </row>
    <row r="392" spans="1:9">
      <c r="A392" s="510"/>
      <c r="B392" s="510"/>
      <c r="C392" s="510"/>
      <c r="D392" s="1277" t="s">
        <v>1225</v>
      </c>
      <c r="E392" s="1277"/>
      <c r="F392" s="1277"/>
      <c r="I392" s="524"/>
    </row>
    <row r="393" spans="1:9">
      <c r="A393" s="510"/>
      <c r="B393" s="510"/>
      <c r="C393" s="510"/>
      <c r="D393" s="1277"/>
      <c r="E393" s="1277"/>
      <c r="F393" s="1277"/>
      <c r="I393" s="524"/>
    </row>
    <row r="394" spans="1:9">
      <c r="A394" s="510"/>
      <c r="B394" s="510"/>
      <c r="C394" s="510"/>
      <c r="D394" s="1277"/>
      <c r="E394" s="1277"/>
      <c r="F394" s="1277"/>
      <c r="I394" s="524"/>
    </row>
    <row r="395" spans="1:9">
      <c r="A395" s="510"/>
      <c r="B395" s="510"/>
      <c r="C395" s="510"/>
      <c r="D395" s="1277"/>
      <c r="E395" s="1277"/>
      <c r="F395" s="1277"/>
      <c r="I395" s="524"/>
    </row>
    <row r="396" spans="1:9" ht="18" customHeight="1">
      <c r="A396" s="510"/>
      <c r="B396" s="510"/>
      <c r="C396" s="510"/>
      <c r="D396" s="1277"/>
      <c r="E396" s="1277"/>
      <c r="F396" s="1277"/>
      <c r="I396" s="524"/>
    </row>
    <row r="397" spans="1:9">
      <c r="A397" s="510"/>
      <c r="B397" s="510"/>
      <c r="C397" s="510"/>
      <c r="D397" s="1277"/>
      <c r="E397" s="1277"/>
      <c r="F397" s="1277"/>
      <c r="I397" s="524"/>
    </row>
    <row r="398" spans="1:9">
      <c r="A398" s="510"/>
      <c r="B398" s="510"/>
      <c r="C398" s="510"/>
      <c r="D398" s="1277"/>
      <c r="E398" s="1277"/>
      <c r="F398" s="1277"/>
      <c r="I398" s="524"/>
    </row>
    <row r="399" spans="1:9">
      <c r="A399" s="510"/>
      <c r="B399" s="510"/>
      <c r="C399" s="510"/>
      <c r="D399" s="1277"/>
      <c r="E399" s="1277"/>
      <c r="F399" s="1277"/>
      <c r="I399" s="524"/>
    </row>
    <row r="400" spans="1:9" ht="8.25" customHeight="1">
      <c r="A400" s="510"/>
      <c r="B400" s="510"/>
      <c r="C400" s="510"/>
      <c r="D400" s="1277"/>
      <c r="E400" s="1277"/>
      <c r="F400" s="1277"/>
      <c r="I400" s="524"/>
    </row>
    <row r="401" spans="1:9" ht="13.8" customHeight="1">
      <c r="A401" s="510"/>
      <c r="B401" s="510"/>
      <c r="C401" s="510"/>
      <c r="D401" s="1277" t="s">
        <v>1226</v>
      </c>
      <c r="E401" s="1277"/>
      <c r="F401" s="1277"/>
      <c r="I401" s="524"/>
    </row>
    <row r="402" spans="1:9">
      <c r="A402" s="510"/>
      <c r="B402" s="510"/>
      <c r="C402" s="510"/>
      <c r="D402" s="1277"/>
      <c r="E402" s="1277"/>
      <c r="F402" s="1277"/>
      <c r="I402" s="524"/>
    </row>
    <row r="403" spans="1:9">
      <c r="A403" s="510"/>
      <c r="B403" s="510"/>
      <c r="C403" s="510"/>
      <c r="D403" s="1277"/>
      <c r="E403" s="1277"/>
      <c r="F403" s="1277"/>
      <c r="I403" s="524"/>
    </row>
    <row r="404" spans="1:9">
      <c r="A404" s="510"/>
      <c r="B404" s="510"/>
      <c r="C404" s="510"/>
      <c r="D404" s="1277"/>
      <c r="E404" s="1277"/>
      <c r="F404" s="1277"/>
      <c r="I404" s="524"/>
    </row>
    <row r="405" spans="1:9">
      <c r="A405" s="510"/>
      <c r="B405" s="510"/>
      <c r="C405" s="510"/>
      <c r="D405" s="1277"/>
      <c r="E405" s="1277"/>
      <c r="F405" s="1277"/>
      <c r="I405" s="524"/>
    </row>
    <row r="406" spans="1:9">
      <c r="A406" s="510"/>
      <c r="B406" s="510"/>
      <c r="C406" s="510"/>
      <c r="D406" s="1277"/>
      <c r="E406" s="1277"/>
      <c r="F406" s="1277"/>
      <c r="I406" s="524"/>
    </row>
    <row r="407" spans="1:9">
      <c r="A407" s="510"/>
      <c r="B407" s="510"/>
      <c r="C407" s="510"/>
      <c r="D407" s="1277"/>
      <c r="E407" s="1277"/>
      <c r="F407" s="1277"/>
      <c r="I407" s="524"/>
    </row>
    <row r="408" spans="1:9">
      <c r="A408" s="510"/>
      <c r="B408" s="510"/>
      <c r="C408" s="510"/>
      <c r="D408" s="1277"/>
      <c r="E408" s="1277"/>
      <c r="F408" s="1277"/>
      <c r="I408" s="524"/>
    </row>
    <row r="409" spans="1:9">
      <c r="A409" s="510"/>
      <c r="B409" s="510"/>
      <c r="C409" s="510"/>
      <c r="D409" s="1277"/>
      <c r="E409" s="1277"/>
      <c r="F409" s="1277"/>
      <c r="I409" s="524"/>
    </row>
    <row r="410" spans="1:9">
      <c r="A410" s="510"/>
      <c r="B410" s="510"/>
      <c r="C410" s="510"/>
      <c r="D410" s="1277"/>
      <c r="E410" s="1277"/>
      <c r="F410" s="1277"/>
      <c r="I410" s="524"/>
    </row>
    <row r="411" spans="1:9">
      <c r="A411" s="510"/>
      <c r="B411" s="510"/>
      <c r="C411" s="510"/>
      <c r="D411" s="1277"/>
      <c r="E411" s="1277"/>
      <c r="F411" s="1277"/>
      <c r="I411" s="524"/>
    </row>
    <row r="412" spans="1:9">
      <c r="A412" s="510"/>
      <c r="B412" s="510"/>
      <c r="C412" s="510"/>
      <c r="D412" s="1277"/>
      <c r="E412" s="1277"/>
      <c r="F412" s="1277"/>
      <c r="I412" s="524"/>
    </row>
    <row r="413" spans="1:9">
      <c r="A413" s="510"/>
      <c r="B413" s="510"/>
      <c r="C413" s="530"/>
      <c r="D413" s="1277"/>
      <c r="E413" s="1277"/>
      <c r="F413" s="1277"/>
      <c r="I413" s="524"/>
    </row>
    <row r="414" spans="1:9">
      <c r="A414" s="510"/>
      <c r="B414" s="510"/>
      <c r="C414" s="530"/>
      <c r="D414" s="1277"/>
      <c r="E414" s="1277"/>
      <c r="F414" s="1277"/>
      <c r="I414" s="524"/>
    </row>
    <row r="415" spans="1:9">
      <c r="A415" s="510"/>
      <c r="B415" s="510"/>
      <c r="C415" s="510"/>
      <c r="D415" s="1277"/>
      <c r="E415" s="1277"/>
      <c r="F415" s="1277"/>
      <c r="I415" s="524"/>
    </row>
    <row r="416" spans="1:9">
      <c r="A416" s="510"/>
      <c r="B416" s="510"/>
      <c r="C416" s="530"/>
      <c r="D416" s="1277"/>
      <c r="E416" s="1277"/>
      <c r="F416" s="1277"/>
      <c r="I416" s="524"/>
    </row>
    <row r="417" spans="1:9">
      <c r="A417" s="510"/>
      <c r="B417" s="510"/>
      <c r="C417" s="530"/>
      <c r="D417" s="1277"/>
      <c r="E417" s="1277"/>
      <c r="F417" s="1277"/>
      <c r="I417" s="524"/>
    </row>
    <row r="418" spans="1:9">
      <c r="A418" s="510"/>
      <c r="B418" s="510"/>
      <c r="C418" s="530"/>
      <c r="D418" s="1277"/>
      <c r="E418" s="1277"/>
      <c r="F418" s="1277"/>
      <c r="I418" s="524"/>
    </row>
    <row r="419" spans="1:9">
      <c r="A419" s="510"/>
      <c r="B419" s="510"/>
      <c r="C419" s="510"/>
      <c r="D419" s="481"/>
      <c r="E419" s="481"/>
      <c r="F419" s="480"/>
      <c r="I419" s="524"/>
    </row>
    <row r="420" spans="1:9">
      <c r="A420" s="510"/>
      <c r="B420" s="519" t="s">
        <v>2720</v>
      </c>
      <c r="C420" s="510"/>
      <c r="D420" s="1277" t="s">
        <v>1227</v>
      </c>
      <c r="E420" s="1277"/>
      <c r="F420" s="1277"/>
      <c r="I420" s="524"/>
    </row>
    <row r="421" spans="1:9">
      <c r="A421" s="510"/>
      <c r="B421" s="510"/>
      <c r="C421" s="510"/>
      <c r="D421" s="1277"/>
      <c r="E421" s="1277"/>
      <c r="F421" s="1277"/>
      <c r="I421" s="524"/>
    </row>
    <row r="422" spans="1:9">
      <c r="A422" s="510"/>
      <c r="B422" s="510"/>
      <c r="C422" s="510"/>
      <c r="D422" s="485"/>
      <c r="E422" s="485"/>
      <c r="F422" s="485"/>
      <c r="I422" s="524"/>
    </row>
    <row r="423" spans="1:9" ht="14.55" customHeight="1">
      <c r="A423" s="518"/>
      <c r="B423" s="519" t="s">
        <v>2720</v>
      </c>
      <c r="D423" s="1277" t="s">
        <v>2127</v>
      </c>
      <c r="E423" s="1277"/>
      <c r="F423" s="1277"/>
      <c r="I423" s="524"/>
    </row>
    <row r="424" spans="1:9" ht="14.55" customHeight="1">
      <c r="A424" s="518"/>
      <c r="D424" s="1277"/>
      <c r="E424" s="1277"/>
      <c r="F424" s="1277"/>
      <c r="I424" s="524"/>
    </row>
    <row r="425" spans="1:9" ht="14.55" customHeight="1">
      <c r="A425" s="518"/>
      <c r="D425" s="1277"/>
      <c r="E425" s="1277"/>
      <c r="F425" s="1277"/>
      <c r="I425" s="524"/>
    </row>
    <row r="426" spans="1:9" ht="14.55" customHeight="1">
      <c r="A426" s="518"/>
      <c r="D426" s="1277"/>
      <c r="E426" s="1277"/>
      <c r="F426" s="1277"/>
      <c r="I426" s="524"/>
    </row>
    <row r="427" spans="1:9" ht="14.55" customHeight="1">
      <c r="A427" s="518"/>
      <c r="D427" s="1277"/>
      <c r="E427" s="1277"/>
      <c r="F427" s="1277"/>
      <c r="I427" s="524"/>
    </row>
    <row r="428" spans="1:9" ht="14.55" customHeight="1">
      <c r="A428" s="518"/>
      <c r="D428" s="416"/>
      <c r="E428" s="416"/>
      <c r="F428" s="416"/>
      <c r="I428" s="524"/>
    </row>
    <row r="429" spans="1:9" ht="13.8" customHeight="1">
      <c r="A429" s="518"/>
      <c r="B429" s="519" t="s">
        <v>2720</v>
      </c>
      <c r="C429" s="510"/>
      <c r="D429" s="1277" t="s">
        <v>1346</v>
      </c>
      <c r="E429" s="1277"/>
      <c r="F429" s="1277"/>
      <c r="I429" s="524"/>
    </row>
    <row r="430" spans="1:9" ht="14.4">
      <c r="A430" s="531"/>
      <c r="B430" s="531"/>
      <c r="C430" s="510"/>
      <c r="D430" s="1277"/>
      <c r="E430" s="1277"/>
      <c r="F430" s="1277"/>
      <c r="I430" s="524"/>
    </row>
    <row r="431" spans="1:9" ht="14.4">
      <c r="A431" s="531"/>
      <c r="B431" s="531"/>
      <c r="C431" s="510"/>
      <c r="D431" s="1277"/>
      <c r="E431" s="1277"/>
      <c r="F431" s="1277"/>
      <c r="I431" s="524"/>
    </row>
    <row r="432" spans="1:9" ht="14.4">
      <c r="A432" s="531"/>
      <c r="B432" s="531"/>
      <c r="C432" s="510"/>
      <c r="D432" s="1277"/>
      <c r="E432" s="1277"/>
      <c r="F432" s="1277"/>
      <c r="I432" s="524"/>
    </row>
    <row r="433" spans="1:9" ht="15.75" customHeight="1">
      <c r="A433" s="531"/>
      <c r="B433" s="531"/>
      <c r="C433" s="510"/>
      <c r="D433" s="1348" t="s">
        <v>2384</v>
      </c>
      <c r="E433" s="1277"/>
      <c r="F433" s="1277"/>
      <c r="I433" s="524"/>
    </row>
    <row r="434" spans="1:9">
      <c r="D434" s="480"/>
      <c r="E434" s="480"/>
      <c r="F434" s="480"/>
      <c r="I434" s="524"/>
    </row>
    <row r="435" spans="1:9" ht="14.4">
      <c r="A435" s="518"/>
      <c r="B435" s="519" t="s">
        <v>2720</v>
      </c>
      <c r="C435" s="521"/>
      <c r="D435" s="1295" t="s">
        <v>2367</v>
      </c>
      <c r="E435" s="1295"/>
      <c r="F435" s="1295"/>
      <c r="I435" s="524"/>
    </row>
    <row r="436" spans="1:9" ht="14.4">
      <c r="A436" s="518"/>
      <c r="B436" s="518"/>
      <c r="D436" s="1295"/>
      <c r="E436" s="1295"/>
      <c r="F436" s="1295"/>
      <c r="I436" s="524"/>
    </row>
    <row r="437" spans="1:9">
      <c r="D437" s="1295"/>
      <c r="E437" s="1295"/>
      <c r="F437" s="1295"/>
      <c r="I437" s="524"/>
    </row>
    <row r="438" spans="1:9">
      <c r="D438" s="1295"/>
      <c r="E438" s="1295"/>
      <c r="F438" s="1295"/>
      <c r="I438" s="524"/>
    </row>
    <row r="439" spans="1:9">
      <c r="D439" s="1295"/>
      <c r="E439" s="1295"/>
      <c r="F439" s="1295"/>
      <c r="I439" s="524"/>
    </row>
    <row r="440" spans="1:9">
      <c r="D440" s="1295"/>
      <c r="E440" s="1295"/>
      <c r="F440" s="1295"/>
      <c r="I440" s="524"/>
    </row>
    <row r="441" spans="1:9">
      <c r="D441" s="1295"/>
      <c r="E441" s="1295"/>
      <c r="F441" s="1295"/>
      <c r="I441" s="524"/>
    </row>
    <row r="442" spans="1:9">
      <c r="D442" s="1295"/>
      <c r="E442" s="1295"/>
      <c r="F442" s="1295"/>
      <c r="I442" s="524"/>
    </row>
    <row r="443" spans="1:9">
      <c r="D443" s="1295"/>
      <c r="E443" s="1295"/>
      <c r="F443" s="1295"/>
      <c r="I443" s="524"/>
    </row>
    <row r="444" spans="1:9">
      <c r="D444" s="1295"/>
      <c r="E444" s="1295"/>
      <c r="F444" s="1295"/>
      <c r="I444" s="524"/>
    </row>
    <row r="445" spans="1:9">
      <c r="D445" s="1295"/>
      <c r="E445" s="1295"/>
      <c r="F445" s="1295"/>
      <c r="I445" s="524"/>
    </row>
    <row r="446" spans="1:9">
      <c r="D446" s="1295"/>
      <c r="E446" s="1295"/>
      <c r="F446" s="1295"/>
      <c r="I446" s="524"/>
    </row>
    <row r="447" spans="1:9">
      <c r="D447" s="1295"/>
      <c r="E447" s="1295"/>
      <c r="F447" s="1295"/>
      <c r="I447" s="524"/>
    </row>
    <row r="448" spans="1:9">
      <c r="A448" s="433"/>
      <c r="B448" s="433"/>
      <c r="C448" s="433"/>
      <c r="D448" s="1295"/>
      <c r="E448" s="1295"/>
      <c r="F448" s="1295"/>
      <c r="I448" s="524"/>
    </row>
    <row r="449" spans="1:9">
      <c r="A449" s="433"/>
      <c r="B449" s="433"/>
      <c r="C449" s="433"/>
      <c r="D449" s="1295"/>
      <c r="E449" s="1295"/>
      <c r="F449" s="1295"/>
      <c r="I449" s="524"/>
    </row>
    <row r="450" spans="1:9">
      <c r="A450" s="433"/>
      <c r="B450" s="433"/>
      <c r="C450" s="433"/>
      <c r="D450" s="1295"/>
      <c r="E450" s="1295"/>
      <c r="F450" s="1295"/>
      <c r="I450" s="524"/>
    </row>
    <row r="451" spans="1:9">
      <c r="A451" s="433"/>
      <c r="B451" s="433"/>
      <c r="C451" s="433"/>
      <c r="D451" s="1295"/>
      <c r="E451" s="1295"/>
      <c r="F451" s="1295"/>
      <c r="I451" s="524"/>
    </row>
    <row r="452" spans="1:9">
      <c r="A452" s="433"/>
      <c r="B452" s="433"/>
      <c r="C452" s="433"/>
      <c r="D452" s="1295"/>
      <c r="E452" s="1295"/>
      <c r="F452" s="1295"/>
      <c r="I452" s="524"/>
    </row>
    <row r="453" spans="1:9">
      <c r="A453" s="433"/>
      <c r="B453" s="433"/>
      <c r="C453" s="433"/>
      <c r="D453" s="1295"/>
      <c r="E453" s="1295"/>
      <c r="F453" s="1295"/>
      <c r="I453" s="524"/>
    </row>
    <row r="454" spans="1:9">
      <c r="A454" s="433"/>
      <c r="B454" s="433"/>
      <c r="C454" s="433"/>
      <c r="D454" s="1295"/>
      <c r="E454" s="1295"/>
      <c r="F454" s="1295"/>
      <c r="I454" s="524"/>
    </row>
    <row r="455" spans="1:9">
      <c r="A455" s="433"/>
      <c r="B455" s="433"/>
      <c r="C455" s="433"/>
      <c r="D455" s="1295"/>
      <c r="E455" s="1295"/>
      <c r="F455" s="1295"/>
      <c r="I455" s="524"/>
    </row>
    <row r="456" spans="1:9">
      <c r="A456" s="433"/>
      <c r="B456" s="433"/>
      <c r="C456" s="433"/>
      <c r="D456" s="1295"/>
      <c r="E456" s="1295"/>
      <c r="F456" s="1295"/>
      <c r="I456" s="524"/>
    </row>
    <row r="457" spans="1:9">
      <c r="A457" s="433"/>
      <c r="B457" s="433"/>
      <c r="C457" s="433"/>
      <c r="D457" s="1295"/>
      <c r="E457" s="1295"/>
      <c r="F457" s="1295"/>
      <c r="I457" s="524"/>
    </row>
    <row r="458" spans="1:9">
      <c r="A458" s="433"/>
      <c r="B458" s="433"/>
      <c r="C458" s="433"/>
      <c r="D458" s="1295"/>
      <c r="E458" s="1295"/>
      <c r="F458" s="1295"/>
      <c r="I458" s="524"/>
    </row>
    <row r="459" spans="1:9">
      <c r="A459" s="433"/>
      <c r="B459" s="433"/>
      <c r="C459" s="433"/>
      <c r="D459" s="1295"/>
      <c r="E459" s="1295"/>
      <c r="F459" s="1295"/>
      <c r="I459" s="524"/>
    </row>
    <row r="460" spans="1:9">
      <c r="A460" s="433"/>
      <c r="B460" s="433"/>
      <c r="C460" s="433"/>
      <c r="D460" s="1295"/>
      <c r="E460" s="1295"/>
      <c r="F460" s="1295"/>
      <c r="I460" s="524"/>
    </row>
    <row r="461" spans="1:9">
      <c r="A461" s="433"/>
      <c r="B461" s="433"/>
      <c r="C461" s="433"/>
      <c r="D461" s="1295"/>
      <c r="E461" s="1295"/>
      <c r="F461" s="1295"/>
      <c r="I461" s="524"/>
    </row>
    <row r="462" spans="1:9">
      <c r="A462" s="433"/>
      <c r="B462" s="433"/>
      <c r="C462" s="433"/>
      <c r="D462" s="1295"/>
      <c r="E462" s="1295"/>
      <c r="F462" s="1295"/>
      <c r="I462" s="524"/>
    </row>
    <row r="463" spans="1:9">
      <c r="A463" s="433"/>
      <c r="B463" s="433"/>
      <c r="C463" s="433"/>
      <c r="D463" s="1295"/>
      <c r="E463" s="1295"/>
      <c r="F463" s="1295"/>
      <c r="I463" s="524"/>
    </row>
    <row r="464" spans="1:9">
      <c r="D464" s="1295"/>
      <c r="E464" s="1295"/>
      <c r="F464" s="1295"/>
      <c r="I464" s="524"/>
    </row>
    <row r="465" spans="1:9" ht="40.799999999999997" customHeight="1">
      <c r="D465" s="1295"/>
      <c r="E465" s="1295"/>
      <c r="F465" s="1295"/>
      <c r="I465" s="524"/>
    </row>
    <row r="466" spans="1:9">
      <c r="D466" s="480"/>
      <c r="E466" s="480"/>
      <c r="F466" s="480"/>
      <c r="I466" s="524"/>
    </row>
    <row r="467" spans="1:9" ht="14.4">
      <c r="A467" s="518"/>
      <c r="B467" s="519" t="s">
        <v>2720</v>
      </c>
      <c r="C467" s="521"/>
      <c r="D467" s="1295" t="s">
        <v>1232</v>
      </c>
      <c r="E467" s="1295"/>
      <c r="F467" s="1295"/>
      <c r="I467" s="524"/>
    </row>
    <row r="468" spans="1:9">
      <c r="D468" s="1295"/>
      <c r="E468" s="1295"/>
      <c r="F468" s="1295"/>
      <c r="I468" s="524"/>
    </row>
    <row r="469" spans="1:9">
      <c r="D469" s="1295"/>
      <c r="E469" s="1295"/>
      <c r="F469" s="1295"/>
      <c r="I469" s="524"/>
    </row>
    <row r="470" spans="1:9">
      <c r="D470" s="479"/>
      <c r="E470" s="479"/>
      <c r="F470" s="479"/>
      <c r="I470" s="524"/>
    </row>
    <row r="471" spans="1:9" ht="14.4">
      <c r="B471" s="519" t="s">
        <v>2720</v>
      </c>
      <c r="C471" s="518"/>
      <c r="D471" s="1295" t="s">
        <v>1302</v>
      </c>
      <c r="E471" s="1295"/>
      <c r="F471" s="1295"/>
      <c r="I471" s="524"/>
    </row>
    <row r="472" spans="1:9">
      <c r="D472" s="1295"/>
      <c r="E472" s="1295"/>
      <c r="F472" s="1295"/>
      <c r="I472" s="524"/>
    </row>
    <row r="473" spans="1:9">
      <c r="D473" s="480"/>
      <c r="E473" s="480"/>
      <c r="F473" s="480"/>
      <c r="I473" s="524"/>
    </row>
    <row r="474" spans="1:9" ht="14.4">
      <c r="B474" s="519" t="s">
        <v>2720</v>
      </c>
      <c r="C474" s="518"/>
      <c r="D474" s="1295" t="s">
        <v>1234</v>
      </c>
      <c r="E474" s="1295"/>
      <c r="F474" s="1295"/>
      <c r="I474" s="524"/>
    </row>
    <row r="475" spans="1:9">
      <c r="D475" s="1295"/>
      <c r="E475" s="1295"/>
      <c r="F475" s="1295"/>
      <c r="I475" s="524"/>
    </row>
    <row r="476" spans="1:9">
      <c r="D476" s="1295"/>
      <c r="E476" s="1295"/>
      <c r="F476" s="1295"/>
      <c r="I476" s="524"/>
    </row>
    <row r="477" spans="1:9">
      <c r="D477" s="1295"/>
      <c r="E477" s="1295"/>
      <c r="F477" s="1295"/>
      <c r="I477" s="524"/>
    </row>
    <row r="478" spans="1:9">
      <c r="B478" s="519" t="s">
        <v>2720</v>
      </c>
      <c r="D478" s="1295"/>
      <c r="E478" s="1295"/>
      <c r="F478" s="1295"/>
      <c r="I478" s="524"/>
    </row>
    <row r="479" spans="1:9">
      <c r="A479" s="433"/>
      <c r="B479" s="433"/>
      <c r="C479" s="433"/>
      <c r="D479" s="1295"/>
      <c r="E479" s="1295"/>
      <c r="F479" s="1295"/>
      <c r="I479" s="524"/>
    </row>
    <row r="480" spans="1:9">
      <c r="A480" s="433"/>
      <c r="C480" s="433"/>
      <c r="D480" s="1295"/>
      <c r="E480" s="1295"/>
      <c r="F480" s="1295"/>
      <c r="I480" s="524"/>
    </row>
    <row r="481" spans="1:9">
      <c r="A481" s="433"/>
      <c r="B481" s="519" t="s">
        <v>2720</v>
      </c>
      <c r="C481" s="433"/>
      <c r="D481" s="1295"/>
      <c r="E481" s="1295"/>
      <c r="F481" s="1295"/>
      <c r="I481" s="524"/>
    </row>
    <row r="482" spans="1:9">
      <c r="A482" s="433"/>
      <c r="B482" s="433"/>
      <c r="C482" s="433"/>
      <c r="D482" s="1295"/>
      <c r="E482" s="1295"/>
      <c r="F482" s="1295"/>
      <c r="I482" s="524"/>
    </row>
    <row r="483" spans="1:9">
      <c r="A483" s="433"/>
      <c r="C483" s="433"/>
      <c r="D483" s="1295"/>
      <c r="E483" s="1295"/>
      <c r="F483" s="1295"/>
      <c r="I483" s="524"/>
    </row>
    <row r="484" spans="1:9">
      <c r="A484" s="433"/>
      <c r="C484" s="433"/>
      <c r="D484" s="1295"/>
      <c r="E484" s="1295"/>
      <c r="F484" s="1295"/>
      <c r="I484" s="524"/>
    </row>
    <row r="485" spans="1:9">
      <c r="A485" s="433"/>
      <c r="C485" s="433"/>
      <c r="D485" s="1295"/>
      <c r="E485" s="1295"/>
      <c r="F485" s="1295"/>
      <c r="I485" s="524"/>
    </row>
    <row r="486" spans="1:9">
      <c r="A486" s="433"/>
      <c r="B486" s="519" t="s">
        <v>2720</v>
      </c>
      <c r="C486" s="433"/>
      <c r="D486" s="1295"/>
      <c r="E486" s="1295"/>
      <c r="F486" s="1295"/>
      <c r="I486" s="524"/>
    </row>
    <row r="487" spans="1:9">
      <c r="A487" s="433"/>
      <c r="C487" s="433"/>
      <c r="D487" s="1295"/>
      <c r="E487" s="1295"/>
      <c r="F487" s="1295"/>
      <c r="I487" s="524"/>
    </row>
    <row r="488" spans="1:9">
      <c r="A488" s="433"/>
      <c r="B488" s="519" t="s">
        <v>2720</v>
      </c>
      <c r="C488" s="433"/>
      <c r="D488" s="1295" t="s">
        <v>1235</v>
      </c>
      <c r="E488" s="1295"/>
      <c r="F488" s="1295"/>
      <c r="I488" s="524"/>
    </row>
    <row r="489" spans="1:9">
      <c r="A489" s="433"/>
      <c r="B489" s="433"/>
      <c r="C489" s="433"/>
      <c r="D489" s="1295"/>
      <c r="E489" s="1295"/>
      <c r="F489" s="1295"/>
      <c r="I489" s="524"/>
    </row>
    <row r="490" spans="1:9">
      <c r="A490" s="433"/>
      <c r="B490" s="433"/>
      <c r="C490" s="433"/>
      <c r="D490" s="1295"/>
      <c r="E490" s="1295"/>
      <c r="F490" s="1295"/>
      <c r="I490" s="524"/>
    </row>
    <row r="491" spans="1:9">
      <c r="A491" s="433"/>
      <c r="B491" s="433"/>
      <c r="C491" s="433"/>
      <c r="D491" s="1295"/>
      <c r="E491" s="1295"/>
      <c r="F491" s="1295"/>
      <c r="I491" s="524"/>
    </row>
    <row r="492" spans="1:9">
      <c r="D492" s="1295"/>
      <c r="E492" s="1295"/>
      <c r="F492" s="1295"/>
      <c r="I492" s="524"/>
    </row>
    <row r="493" spans="1:9">
      <c r="D493" s="480"/>
      <c r="E493" s="480"/>
      <c r="F493" s="480"/>
      <c r="I493" s="524"/>
    </row>
    <row r="494" spans="1:9">
      <c r="B494" s="519" t="s">
        <v>2720</v>
      </c>
      <c r="D494" s="1296" t="s">
        <v>1236</v>
      </c>
      <c r="E494" s="1296"/>
      <c r="F494" s="1296"/>
      <c r="I494" s="524"/>
    </row>
    <row r="495" spans="1:9">
      <c r="A495" s="480"/>
      <c r="B495" s="480"/>
      <c r="I495" s="524"/>
    </row>
    <row r="496" spans="1:9">
      <c r="A496" s="1283" t="s">
        <v>1077</v>
      </c>
      <c r="B496" s="1283"/>
      <c r="C496" s="1283"/>
      <c r="D496" s="1283"/>
      <c r="E496" s="1283"/>
      <c r="F496" s="1283"/>
      <c r="G496" s="1283"/>
      <c r="H496" s="1063"/>
      <c r="I496" s="1256"/>
    </row>
    <row r="497" spans="1:9">
      <c r="A497" s="480"/>
      <c r="B497" s="480"/>
      <c r="I497" s="524"/>
    </row>
    <row r="498" spans="1:9">
      <c r="D498" s="1280" t="s">
        <v>894</v>
      </c>
      <c r="E498" s="1280"/>
      <c r="F498" s="1280"/>
      <c r="I498" s="524"/>
    </row>
    <row r="499" spans="1:9" ht="14.4">
      <c r="A499" s="518"/>
      <c r="B499" s="518"/>
      <c r="D499" s="1281" t="s">
        <v>1237</v>
      </c>
      <c r="E499" s="1281"/>
      <c r="F499" s="1281"/>
      <c r="I499" s="524"/>
    </row>
    <row r="500" spans="1:9" ht="14.4">
      <c r="A500" s="518"/>
      <c r="B500" s="518"/>
      <c r="D500" s="481"/>
      <c r="I500" s="524"/>
    </row>
    <row r="501" spans="1:9" ht="14.4">
      <c r="A501" s="518"/>
      <c r="B501" s="519" t="s">
        <v>2720</v>
      </c>
      <c r="D501" s="1277" t="s">
        <v>1238</v>
      </c>
      <c r="E501" s="1277"/>
      <c r="F501" s="1277"/>
      <c r="I501" s="524" t="s">
        <v>2091</v>
      </c>
    </row>
    <row r="502" spans="1:9" ht="14.4">
      <c r="A502" s="518"/>
      <c r="B502" s="518"/>
      <c r="D502" s="1277"/>
      <c r="E502" s="1277"/>
      <c r="F502" s="1277"/>
      <c r="I502" s="524"/>
    </row>
    <row r="503" spans="1:9" ht="14.4">
      <c r="A503" s="518"/>
      <c r="B503" s="518"/>
      <c r="D503" s="480"/>
      <c r="I503" s="524"/>
    </row>
    <row r="504" spans="1:9" ht="12.75" customHeight="1">
      <c r="B504" s="519" t="s">
        <v>2719</v>
      </c>
      <c r="D504" s="1282" t="s">
        <v>1380</v>
      </c>
      <c r="E504" s="1282"/>
      <c r="F504" s="1282"/>
      <c r="I504" s="524" t="s">
        <v>2092</v>
      </c>
    </row>
    <row r="505" spans="1:9" ht="14.4">
      <c r="A505" s="518"/>
      <c r="D505" s="1282"/>
      <c r="E505" s="1282"/>
      <c r="F505" s="1282"/>
      <c r="I505" s="524"/>
    </row>
    <row r="506" spans="1:9" ht="14.4">
      <c r="A506" s="518"/>
      <c r="B506" s="518"/>
      <c r="D506" s="1282"/>
      <c r="E506" s="1282"/>
      <c r="F506" s="1282"/>
      <c r="I506" s="524"/>
    </row>
    <row r="507" spans="1:9" ht="14.4">
      <c r="A507" s="518"/>
      <c r="B507" s="518"/>
      <c r="D507" s="1282"/>
      <c r="E507" s="1282"/>
      <c r="F507" s="1282"/>
      <c r="I507" s="524"/>
    </row>
    <row r="508" spans="1:9" ht="14.4">
      <c r="A508" s="518"/>
      <c r="D508" s="554"/>
      <c r="E508" s="554"/>
      <c r="F508" s="554"/>
      <c r="I508" s="524"/>
    </row>
    <row r="509" spans="1:9" ht="14.4">
      <c r="A509" s="518"/>
      <c r="B509" s="519" t="s">
        <v>2719</v>
      </c>
      <c r="D509" s="1296" t="s">
        <v>1241</v>
      </c>
      <c r="E509" s="1296"/>
      <c r="F509" s="1296"/>
      <c r="I509" s="524" t="s">
        <v>2093</v>
      </c>
    </row>
    <row r="510" spans="1:9" ht="14.4">
      <c r="A510" s="518"/>
      <c r="B510" s="518"/>
      <c r="D510" s="480"/>
      <c r="I510" s="524"/>
    </row>
    <row r="511" spans="1:9" ht="14.4">
      <c r="A511" s="518"/>
      <c r="B511" s="519" t="s">
        <v>2719</v>
      </c>
      <c r="D511" s="1295" t="s">
        <v>1242</v>
      </c>
      <c r="E511" s="1295"/>
      <c r="F511" s="1295"/>
      <c r="I511" s="524" t="s">
        <v>2093</v>
      </c>
    </row>
    <row r="512" spans="1:9" ht="14.4">
      <c r="A512" s="518"/>
      <c r="D512" s="1295"/>
      <c r="E512" s="1295"/>
      <c r="F512" s="1295"/>
      <c r="I512" s="524"/>
    </row>
    <row r="513" spans="1:9">
      <c r="A513" s="524"/>
      <c r="B513" s="524"/>
      <c r="D513" s="481"/>
      <c r="I513" s="524"/>
    </row>
    <row r="514" spans="1:9">
      <c r="A514" s="524"/>
      <c r="B514" s="519" t="s">
        <v>2720</v>
      </c>
      <c r="D514" s="1296" t="s">
        <v>1243</v>
      </c>
      <c r="E514" s="1296"/>
      <c r="F514" s="1296"/>
      <c r="I514" s="524" t="s">
        <v>2146</v>
      </c>
    </row>
    <row r="515" spans="1:9" ht="14.4">
      <c r="A515" s="518"/>
      <c r="B515" s="518"/>
      <c r="D515" s="480"/>
      <c r="I515" s="524"/>
    </row>
    <row r="516" spans="1:9">
      <c r="A516" s="1283" t="s">
        <v>1078</v>
      </c>
      <c r="B516" s="1283"/>
      <c r="C516" s="1283"/>
      <c r="D516" s="1283"/>
      <c r="E516" s="1283"/>
      <c r="F516" s="1283"/>
      <c r="G516" s="1283"/>
      <c r="H516" s="1063"/>
      <c r="I516" s="1256"/>
    </row>
    <row r="517" spans="1:9" ht="12" customHeight="1">
      <c r="A517" s="518"/>
      <c r="B517" s="518"/>
      <c r="D517" s="480"/>
      <c r="I517" s="524"/>
    </row>
    <row r="518" spans="1:9">
      <c r="C518" s="516"/>
      <c r="D518" s="1294" t="s">
        <v>801</v>
      </c>
      <c r="E518" s="1294"/>
      <c r="F518" s="1294"/>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8" customHeight="1">
      <c r="A522" s="517"/>
      <c r="B522" s="519" t="s">
        <v>2719</v>
      </c>
      <c r="C522" s="517"/>
      <c r="D522" s="1277" t="s">
        <v>2368</v>
      </c>
      <c r="E522" s="1277"/>
      <c r="F522" s="1277"/>
      <c r="I522" s="524" t="s">
        <v>2128</v>
      </c>
    </row>
    <row r="523" spans="1:9">
      <c r="A523" s="517"/>
      <c r="B523" s="517"/>
      <c r="C523" s="517"/>
      <c r="D523" s="1277"/>
      <c r="E523" s="1277"/>
      <c r="F523" s="1277"/>
      <c r="I523" s="524"/>
    </row>
    <row r="524" spans="1:9">
      <c r="A524" s="517"/>
      <c r="B524" s="517"/>
      <c r="C524" s="517"/>
      <c r="D524" s="485"/>
      <c r="E524" s="485"/>
      <c r="F524" s="485"/>
      <c r="I524" s="514"/>
    </row>
    <row r="525" spans="1:9" ht="12.75" customHeight="1">
      <c r="A525" s="517"/>
      <c r="B525" s="519" t="s">
        <v>2719</v>
      </c>
      <c r="D525" s="417" t="s">
        <v>2198</v>
      </c>
      <c r="E525" s="416"/>
      <c r="F525" s="416"/>
      <c r="I525" s="524" t="s">
        <v>2094</v>
      </c>
    </row>
    <row r="526" spans="1:9">
      <c r="A526" s="517"/>
      <c r="B526" s="517"/>
      <c r="C526" s="517"/>
      <c r="D526" s="416"/>
      <c r="E526" s="96" t="s">
        <v>2199</v>
      </c>
      <c r="I526" s="524"/>
    </row>
    <row r="527" spans="1:9">
      <c r="A527" s="517"/>
      <c r="B527" s="517"/>
      <c r="D527" s="1325" t="s">
        <v>2369</v>
      </c>
      <c r="E527" s="1325"/>
      <c r="F527" s="1325"/>
      <c r="I527" s="524"/>
    </row>
    <row r="528" spans="1:9">
      <c r="A528" s="517"/>
      <c r="B528" s="517"/>
      <c r="D528" s="1325"/>
      <c r="E528" s="1325"/>
      <c r="F528" s="1325"/>
      <c r="I528" s="524"/>
    </row>
    <row r="529" spans="1:9">
      <c r="A529" s="517"/>
      <c r="B529" s="517"/>
      <c r="C529" s="517"/>
      <c r="D529" s="1325"/>
      <c r="E529" s="1325"/>
      <c r="F529" s="1325"/>
      <c r="I529" s="524"/>
    </row>
    <row r="530" spans="1:9">
      <c r="A530" s="517"/>
      <c r="B530" s="517"/>
      <c r="C530" s="517"/>
      <c r="D530" s="532"/>
      <c r="F530" s="480"/>
      <c r="I530" s="524"/>
    </row>
    <row r="531" spans="1:9" ht="13.2" customHeight="1">
      <c r="A531" s="517"/>
      <c r="B531" s="519" t="s">
        <v>2720</v>
      </c>
      <c r="C531" s="517"/>
      <c r="D531" s="1295" t="s">
        <v>2370</v>
      </c>
      <c r="E531" s="1295"/>
      <c r="F531" s="1295"/>
      <c r="I531" s="524" t="s">
        <v>2094</v>
      </c>
    </row>
    <row r="532" spans="1:9">
      <c r="A532" s="517"/>
      <c r="B532" s="517"/>
      <c r="C532" s="517"/>
      <c r="D532" s="1295"/>
      <c r="E532" s="1295"/>
      <c r="F532" s="1295"/>
      <c r="I532" s="524"/>
    </row>
    <row r="533" spans="1:9" ht="12" customHeight="1">
      <c r="A533" s="480"/>
      <c r="B533" s="480"/>
      <c r="C533" s="521"/>
      <c r="D533" s="480"/>
      <c r="F533" s="482"/>
      <c r="I533" s="524"/>
    </row>
    <row r="534" spans="1:9">
      <c r="A534" s="1283" t="s">
        <v>1079</v>
      </c>
      <c r="B534" s="1283"/>
      <c r="C534" s="1283"/>
      <c r="D534" s="1283"/>
      <c r="E534" s="1283"/>
      <c r="F534" s="1283"/>
      <c r="G534" s="1283"/>
      <c r="H534" s="1063"/>
      <c r="I534" s="1256"/>
    </row>
    <row r="535" spans="1:9">
      <c r="A535" s="480"/>
      <c r="B535" s="480"/>
      <c r="C535" s="521"/>
      <c r="F535" s="482"/>
      <c r="I535" s="524"/>
    </row>
    <row r="536" spans="1:9">
      <c r="B536" s="1298" t="s">
        <v>448</v>
      </c>
      <c r="C536" s="1298"/>
      <c r="D536" s="1298"/>
      <c r="E536" s="1298"/>
      <c r="F536" s="1298"/>
      <c r="I536" s="524"/>
    </row>
    <row r="537" spans="1:9">
      <c r="A537" s="480"/>
      <c r="B537" s="480"/>
      <c r="C537" s="521"/>
      <c r="D537" s="480"/>
      <c r="F537" s="480"/>
      <c r="I537" s="524"/>
    </row>
    <row r="538" spans="1:9">
      <c r="A538" s="1314" t="s">
        <v>1080</v>
      </c>
      <c r="B538" s="1314"/>
      <c r="C538" s="1314"/>
      <c r="D538" s="1314"/>
      <c r="E538" s="1314"/>
      <c r="F538" s="1314"/>
      <c r="G538" s="1314"/>
      <c r="H538" s="1063"/>
      <c r="I538" s="1256"/>
    </row>
    <row r="539" spans="1:9">
      <c r="A539" s="480"/>
      <c r="B539" s="480"/>
      <c r="C539" s="521"/>
      <c r="D539" s="480"/>
      <c r="F539" s="480"/>
      <c r="I539" s="524"/>
    </row>
    <row r="540" spans="1:9">
      <c r="C540" s="521"/>
      <c r="D540" s="1294" t="s">
        <v>690</v>
      </c>
      <c r="E540" s="1294"/>
      <c r="F540" s="1294"/>
      <c r="I540" s="524"/>
    </row>
    <row r="541" spans="1:9">
      <c r="C541" s="521"/>
      <c r="D541" s="1296" t="s">
        <v>1137</v>
      </c>
      <c r="E541" s="1296"/>
      <c r="F541" s="1296"/>
      <c r="I541" s="524"/>
    </row>
    <row r="542" spans="1:9">
      <c r="C542" s="521"/>
      <c r="D542" s="480"/>
      <c r="E542" s="480"/>
      <c r="F542" s="480"/>
      <c r="I542" s="524"/>
    </row>
    <row r="543" spans="1:9" ht="13.8" customHeight="1">
      <c r="A543" s="518"/>
      <c r="B543" s="519" t="s">
        <v>2719</v>
      </c>
      <c r="C543" s="521"/>
      <c r="D543" s="1296" t="s">
        <v>895</v>
      </c>
      <c r="E543" s="1296"/>
      <c r="F543" s="1296"/>
      <c r="I543" s="524" t="s">
        <v>2144</v>
      </c>
    </row>
    <row r="544" spans="1:9" ht="13.8" customHeight="1">
      <c r="A544" s="521"/>
      <c r="B544" s="521"/>
      <c r="C544" s="521"/>
      <c r="D544" s="480"/>
      <c r="I544" s="524"/>
    </row>
    <row r="545" spans="1:9" ht="14.4">
      <c r="A545" s="518"/>
      <c r="B545" s="519" t="s">
        <v>2719</v>
      </c>
      <c r="C545" s="521"/>
      <c r="D545" s="1295" t="s">
        <v>1138</v>
      </c>
      <c r="E545" s="1295"/>
      <c r="F545" s="1295"/>
      <c r="I545" s="524" t="s">
        <v>2144</v>
      </c>
    </row>
    <row r="546" spans="1:9">
      <c r="A546" s="521"/>
      <c r="B546" s="521"/>
      <c r="C546" s="521"/>
      <c r="D546" s="1295"/>
      <c r="E546" s="1295"/>
      <c r="F546" s="1295"/>
      <c r="I546" s="524"/>
    </row>
    <row r="547" spans="1:9">
      <c r="A547" s="521"/>
      <c r="B547" s="521"/>
      <c r="C547" s="521"/>
      <c r="D547" s="480"/>
      <c r="E547" s="480"/>
      <c r="F547" s="480"/>
      <c r="I547" s="524"/>
    </row>
    <row r="548" spans="1:9" ht="14.4">
      <c r="A548" s="518"/>
      <c r="B548" s="519" t="s">
        <v>2719</v>
      </c>
      <c r="C548" s="521"/>
      <c r="D548" s="1295" t="s">
        <v>1139</v>
      </c>
      <c r="E548" s="1295"/>
      <c r="F548" s="1295"/>
      <c r="I548" s="524" t="s">
        <v>2095</v>
      </c>
    </row>
    <row r="549" spans="1:9">
      <c r="A549" s="521"/>
      <c r="B549" s="521"/>
      <c r="C549" s="521"/>
      <c r="D549" s="1295"/>
      <c r="E549" s="1295"/>
      <c r="F549" s="1295"/>
      <c r="I549" s="524"/>
    </row>
    <row r="550" spans="1:9">
      <c r="A550" s="521"/>
      <c r="B550" s="521"/>
      <c r="C550" s="521"/>
      <c r="D550" s="480"/>
      <c r="E550" s="480"/>
      <c r="F550" s="480"/>
      <c r="I550" s="524"/>
    </row>
    <row r="551" spans="1:9" ht="14.4">
      <c r="A551" s="518"/>
      <c r="B551" s="519" t="s">
        <v>2719</v>
      </c>
      <c r="C551" s="521"/>
      <c r="D551" s="1295" t="s">
        <v>1140</v>
      </c>
      <c r="E551" s="1295"/>
      <c r="F551" s="1295"/>
      <c r="I551" s="524" t="s">
        <v>2096</v>
      </c>
    </row>
    <row r="552" spans="1:9">
      <c r="A552" s="521"/>
      <c r="B552" s="521"/>
      <c r="C552" s="521"/>
      <c r="D552" s="1295"/>
      <c r="E552" s="1295"/>
      <c r="F552" s="1295"/>
      <c r="I552" s="524"/>
    </row>
    <row r="553" spans="1:9">
      <c r="A553" s="521"/>
      <c r="B553" s="521"/>
      <c r="C553" s="521"/>
      <c r="D553" s="480"/>
      <c r="E553" s="480"/>
      <c r="F553" s="480"/>
      <c r="I553" s="524"/>
    </row>
    <row r="554" spans="1:9" ht="14.4">
      <c r="A554" s="518"/>
      <c r="B554" s="519" t="s">
        <v>2719</v>
      </c>
      <c r="C554" s="521"/>
      <c r="D554" s="1295" t="s">
        <v>1141</v>
      </c>
      <c r="E554" s="1295"/>
      <c r="F554" s="1295"/>
      <c r="I554" s="524" t="s">
        <v>2145</v>
      </c>
    </row>
    <row r="555" spans="1:9">
      <c r="A555" s="521"/>
      <c r="B555" s="521"/>
      <c r="C555" s="521"/>
      <c r="D555" s="1295"/>
      <c r="E555" s="1295"/>
      <c r="F555" s="1295"/>
      <c r="I555" s="524"/>
    </row>
    <row r="556" spans="1:9">
      <c r="A556" s="521"/>
      <c r="B556" s="521"/>
      <c r="C556" s="521"/>
      <c r="D556" s="1295"/>
      <c r="E556" s="1295"/>
      <c r="F556" s="1295"/>
      <c r="I556" s="524"/>
    </row>
    <row r="557" spans="1:9">
      <c r="A557" s="521"/>
      <c r="B557" s="521"/>
      <c r="C557" s="521"/>
      <c r="D557" s="480"/>
      <c r="E557" s="480"/>
      <c r="F557" s="480"/>
      <c r="I557" s="524"/>
    </row>
    <row r="558" spans="1:9" ht="14.4">
      <c r="A558" s="518"/>
      <c r="B558" s="519" t="s">
        <v>2720</v>
      </c>
      <c r="C558" s="521"/>
      <c r="D558" s="1295" t="s">
        <v>1259</v>
      </c>
      <c r="E558" s="1295"/>
      <c r="F558" s="1295"/>
      <c r="I558" s="524" t="s">
        <v>2144</v>
      </c>
    </row>
    <row r="559" spans="1:9">
      <c r="A559" s="521"/>
      <c r="B559" s="521"/>
      <c r="C559" s="521"/>
      <c r="D559" s="1295"/>
      <c r="E559" s="1295"/>
      <c r="F559" s="1295"/>
      <c r="I559" s="524"/>
    </row>
    <row r="560" spans="1:9">
      <c r="A560" s="521"/>
      <c r="B560" s="521"/>
      <c r="C560" s="521"/>
      <c r="D560" s="480"/>
      <c r="E560" s="480"/>
      <c r="F560" s="480"/>
      <c r="I560" s="524"/>
    </row>
    <row r="561" spans="1:9" ht="14.4">
      <c r="A561" s="518"/>
      <c r="B561" s="519" t="s">
        <v>2720</v>
      </c>
      <c r="C561" s="521"/>
      <c r="D561" s="1295" t="s">
        <v>1143</v>
      </c>
      <c r="E561" s="1295"/>
      <c r="F561" s="1295"/>
      <c r="I561" s="524" t="s">
        <v>2144</v>
      </c>
    </row>
    <row r="562" spans="1:9">
      <c r="A562" s="521"/>
      <c r="B562" s="521"/>
      <c r="C562" s="521"/>
      <c r="D562" s="1295"/>
      <c r="E562" s="1295"/>
      <c r="F562" s="1295"/>
      <c r="I562" s="524"/>
    </row>
    <row r="563" spans="1:9">
      <c r="A563" s="521"/>
      <c r="B563" s="521"/>
      <c r="C563" s="521"/>
      <c r="D563" s="480"/>
      <c r="E563" s="480"/>
      <c r="F563" s="480"/>
      <c r="I563" s="524"/>
    </row>
    <row r="564" spans="1:9" ht="14.4">
      <c r="A564" s="518"/>
      <c r="B564" s="519" t="s">
        <v>2719</v>
      </c>
      <c r="C564" s="521"/>
      <c r="D564" s="1296" t="s">
        <v>1144</v>
      </c>
      <c r="E564" s="1296"/>
      <c r="F564" s="1296"/>
      <c r="I564" s="524" t="s">
        <v>2147</v>
      </c>
    </row>
    <row r="565" spans="1:9">
      <c r="A565" s="524"/>
      <c r="B565" s="524"/>
      <c r="C565" s="521"/>
      <c r="D565" s="1296" t="s">
        <v>2201</v>
      </c>
      <c r="E565" s="1296"/>
      <c r="F565" s="1296"/>
      <c r="I565" s="524"/>
    </row>
    <row r="566" spans="1:9">
      <c r="A566" s="524"/>
      <c r="B566" s="524"/>
      <c r="C566" s="521"/>
      <c r="E566" s="96" t="s">
        <v>2200</v>
      </c>
      <c r="F566" s="435"/>
      <c r="I566" s="524"/>
    </row>
    <row r="567" spans="1:9" ht="14.4">
      <c r="A567" s="518"/>
      <c r="B567" s="518"/>
      <c r="C567" s="521"/>
      <c r="E567" s="480"/>
      <c r="F567" s="480"/>
      <c r="I567" s="524"/>
    </row>
    <row r="568" spans="1:9" ht="14.4">
      <c r="A568" s="518"/>
      <c r="B568" s="519" t="s">
        <v>2719</v>
      </c>
      <c r="C568" s="521"/>
      <c r="D568" s="1296" t="s">
        <v>1146</v>
      </c>
      <c r="E568" s="1296"/>
      <c r="F568" s="1296"/>
      <c r="I568" s="524" t="s">
        <v>2097</v>
      </c>
    </row>
    <row r="569" spans="1:9">
      <c r="C569" s="521"/>
      <c r="D569" s="1295" t="s">
        <v>1147</v>
      </c>
      <c r="E569" s="1295"/>
      <c r="F569" s="1295"/>
      <c r="I569" s="524"/>
    </row>
    <row r="570" spans="1:9">
      <c r="A570" s="521"/>
      <c r="B570" s="521"/>
      <c r="C570" s="521"/>
      <c r="D570" s="1295"/>
      <c r="E570" s="1295"/>
      <c r="F570" s="1295"/>
      <c r="I570" s="524"/>
    </row>
    <row r="571" spans="1:9">
      <c r="A571" s="521"/>
      <c r="B571" s="521"/>
      <c r="C571" s="521"/>
      <c r="D571" s="1295"/>
      <c r="E571" s="1295"/>
      <c r="F571" s="1295"/>
      <c r="I571" s="524"/>
    </row>
    <row r="572" spans="1:9">
      <c r="A572" s="521"/>
      <c r="B572" s="521"/>
      <c r="C572" s="521"/>
      <c r="D572" s="480"/>
      <c r="E572" s="480"/>
      <c r="F572" s="480"/>
      <c r="I572" s="524"/>
    </row>
    <row r="573" spans="1:9" ht="14.4">
      <c r="A573" s="518"/>
      <c r="B573" s="519" t="s">
        <v>2719</v>
      </c>
      <c r="C573" s="521"/>
      <c r="D573" s="1295" t="s">
        <v>2371</v>
      </c>
      <c r="E573" s="1295"/>
      <c r="F573" s="1295"/>
      <c r="I573" s="524" t="s">
        <v>2098</v>
      </c>
    </row>
    <row r="574" spans="1:9" ht="14.4">
      <c r="A574" s="518"/>
      <c r="B574" s="518"/>
      <c r="C574" s="521"/>
      <c r="D574" s="1295"/>
      <c r="E574" s="1295"/>
      <c r="F574" s="1295"/>
      <c r="I574" s="524"/>
    </row>
    <row r="575" spans="1:9" ht="14.4">
      <c r="A575" s="518"/>
      <c r="B575" s="518"/>
      <c r="C575" s="521"/>
      <c r="D575" s="1295"/>
      <c r="E575" s="1295"/>
      <c r="F575" s="1295"/>
      <c r="I575" s="524"/>
    </row>
    <row r="576" spans="1:9" ht="14.4">
      <c r="A576" s="518"/>
      <c r="B576" s="518"/>
      <c r="C576" s="521"/>
      <c r="D576" s="1295"/>
      <c r="E576" s="1295"/>
      <c r="F576" s="1295"/>
      <c r="I576" s="524"/>
    </row>
    <row r="577" spans="1:9" ht="14.4">
      <c r="A577" s="518"/>
      <c r="B577" s="518"/>
      <c r="C577" s="521"/>
      <c r="D577" s="480"/>
      <c r="E577" s="480"/>
      <c r="F577" s="480"/>
      <c r="I577" s="524"/>
    </row>
    <row r="578" spans="1:9">
      <c r="A578" s="1283" t="s">
        <v>1081</v>
      </c>
      <c r="B578" s="1283"/>
      <c r="C578" s="1283"/>
      <c r="D578" s="1283"/>
      <c r="E578" s="1283"/>
      <c r="F578" s="1283"/>
      <c r="G578" s="1283"/>
      <c r="H578" s="1063"/>
      <c r="I578" s="1256"/>
    </row>
    <row r="579" spans="1:9">
      <c r="A579" s="521"/>
      <c r="B579" s="521"/>
      <c r="C579" s="521"/>
      <c r="E579" s="480"/>
      <c r="F579" s="480"/>
      <c r="I579" s="524"/>
    </row>
    <row r="580" spans="1:9" ht="12.75" customHeight="1">
      <c r="C580" s="516"/>
      <c r="D580" s="1297" t="s">
        <v>211</v>
      </c>
      <c r="E580" s="1297"/>
      <c r="F580" s="1297"/>
      <c r="I580" s="524"/>
    </row>
    <row r="581" spans="1:9">
      <c r="A581" s="517"/>
      <c r="B581" s="517"/>
      <c r="C581" s="517"/>
      <c r="D581" s="1282" t="s">
        <v>1097</v>
      </c>
      <c r="E581" s="1282"/>
      <c r="F581" s="1282"/>
      <c r="I581" s="524"/>
    </row>
    <row r="582" spans="1:9">
      <c r="A582" s="433"/>
      <c r="B582" s="433"/>
      <c r="C582" s="517"/>
      <c r="D582" s="533"/>
      <c r="I582" s="524" t="s">
        <v>2099</v>
      </c>
    </row>
    <row r="583" spans="1:9">
      <c r="A583" s="517"/>
      <c r="B583" s="519" t="s">
        <v>2719</v>
      </c>
      <c r="D583" s="1282" t="s">
        <v>901</v>
      </c>
      <c r="E583" s="1282"/>
      <c r="F583" s="1282"/>
      <c r="I583" s="524"/>
    </row>
    <row r="584" spans="1:9">
      <c r="A584" s="524"/>
      <c r="B584" s="524"/>
      <c r="D584" s="510"/>
      <c r="I584" s="524"/>
    </row>
    <row r="585" spans="1:9">
      <c r="A585" s="524"/>
      <c r="B585" s="519" t="s">
        <v>2719</v>
      </c>
      <c r="D585" s="1282" t="s">
        <v>2372</v>
      </c>
      <c r="E585" s="1282"/>
      <c r="F585" s="1282"/>
      <c r="I585" s="524" t="s">
        <v>2101</v>
      </c>
    </row>
    <row r="586" spans="1:9">
      <c r="A586" s="524"/>
      <c r="B586" s="524"/>
      <c r="D586" s="1282"/>
      <c r="E586" s="1282"/>
      <c r="F586" s="1282"/>
      <c r="I586" s="524" t="s">
        <v>2100</v>
      </c>
    </row>
    <row r="587" spans="1:9">
      <c r="A587" s="524"/>
      <c r="B587" s="524"/>
      <c r="D587" s="1282"/>
      <c r="E587" s="1282"/>
      <c r="F587" s="1282"/>
      <c r="I587" s="524"/>
    </row>
    <row r="588" spans="1:9">
      <c r="A588" s="524"/>
      <c r="B588" s="524"/>
      <c r="D588" s="1282"/>
      <c r="E588" s="1282"/>
      <c r="F588" s="1282"/>
      <c r="I588" s="524"/>
    </row>
    <row r="589" spans="1:9">
      <c r="A589" s="524"/>
      <c r="B589" s="519" t="s">
        <v>2720</v>
      </c>
      <c r="D589" s="1282" t="s">
        <v>1099</v>
      </c>
      <c r="E589" s="1282"/>
      <c r="F589" s="1282"/>
      <c r="I589" s="524"/>
    </row>
    <row r="590" spans="1:9">
      <c r="A590" s="524"/>
      <c r="B590" s="524"/>
      <c r="D590" s="1282"/>
      <c r="E590" s="1282"/>
      <c r="F590" s="1282"/>
      <c r="I590" s="524"/>
    </row>
    <row r="591" spans="1:9">
      <c r="A591" s="524"/>
      <c r="B591" s="524"/>
      <c r="D591" s="1282"/>
      <c r="E591" s="1282"/>
      <c r="F591" s="1282"/>
      <c r="I591" s="524"/>
    </row>
    <row r="592" spans="1:9">
      <c r="A592" s="524"/>
      <c r="B592" s="524"/>
      <c r="D592" s="1282"/>
      <c r="E592" s="1282"/>
      <c r="F592" s="1282"/>
      <c r="I592" s="524"/>
    </row>
    <row r="593" spans="1:9">
      <c r="A593" s="524"/>
      <c r="B593" s="524"/>
      <c r="D593" s="473"/>
      <c r="E593" s="473"/>
      <c r="F593" s="473"/>
      <c r="I593" s="524"/>
    </row>
    <row r="594" spans="1:9">
      <c r="A594" s="524"/>
      <c r="B594" s="519" t="s">
        <v>2719</v>
      </c>
      <c r="D594" s="1282" t="s">
        <v>2373</v>
      </c>
      <c r="E594" s="1282"/>
      <c r="F594" s="1282"/>
      <c r="I594" s="524"/>
    </row>
    <row r="595" spans="1:9">
      <c r="A595" s="524"/>
      <c r="B595" s="524"/>
      <c r="D595" s="1282"/>
      <c r="E595" s="1282"/>
      <c r="F595" s="1282"/>
      <c r="I595" s="524"/>
    </row>
    <row r="596" spans="1:9">
      <c r="A596" s="524"/>
      <c r="B596" s="524"/>
      <c r="D596" s="533"/>
      <c r="I596" s="524"/>
    </row>
    <row r="597" spans="1:9">
      <c r="A597" s="524"/>
      <c r="B597" s="519" t="s">
        <v>2720</v>
      </c>
      <c r="D597" s="1282" t="s">
        <v>1101</v>
      </c>
      <c r="E597" s="1282"/>
      <c r="F597" s="1282"/>
      <c r="I597" s="524" t="s">
        <v>2148</v>
      </c>
    </row>
    <row r="598" spans="1:9">
      <c r="A598" s="524"/>
      <c r="B598" s="524"/>
      <c r="D598" s="1282"/>
      <c r="E598" s="1282"/>
      <c r="F598" s="1282"/>
      <c r="I598" s="524"/>
    </row>
    <row r="599" spans="1:9" ht="14.4">
      <c r="A599" s="518"/>
      <c r="B599" s="518"/>
      <c r="D599" s="533"/>
      <c r="I599" s="524"/>
    </row>
    <row r="600" spans="1:9">
      <c r="A600" s="1283" t="s">
        <v>1082</v>
      </c>
      <c r="B600" s="1283"/>
      <c r="C600" s="1283"/>
      <c r="D600" s="1283"/>
      <c r="E600" s="1283"/>
      <c r="F600" s="1283"/>
      <c r="G600" s="1283"/>
      <c r="H600" s="1063"/>
      <c r="I600" s="1256"/>
    </row>
    <row r="601" spans="1:9">
      <c r="I601" s="524"/>
    </row>
    <row r="602" spans="1:9">
      <c r="D602" s="1294" t="s">
        <v>1182</v>
      </c>
      <c r="E602" s="1294"/>
      <c r="F602" s="1294"/>
      <c r="I602" s="524"/>
    </row>
    <row r="603" spans="1:9">
      <c r="D603" s="1317" t="s">
        <v>1183</v>
      </c>
      <c r="E603" s="1317"/>
      <c r="F603" s="1317"/>
      <c r="I603" s="524"/>
    </row>
    <row r="604" spans="1:9">
      <c r="D604" s="478"/>
      <c r="I604" s="524"/>
    </row>
    <row r="605" spans="1:9" ht="14.25" customHeight="1">
      <c r="A605" s="518"/>
      <c r="B605" s="519" t="s">
        <v>2719</v>
      </c>
      <c r="D605" s="1335" t="s">
        <v>2202</v>
      </c>
      <c r="E605" s="1335"/>
      <c r="F605" s="1335"/>
      <c r="I605" s="524" t="s">
        <v>2129</v>
      </c>
    </row>
    <row r="606" spans="1:9">
      <c r="D606" s="1335"/>
      <c r="E606" s="1335"/>
      <c r="F606" s="1335"/>
      <c r="I606" s="524"/>
    </row>
    <row r="607" spans="1:9">
      <c r="D607" s="416"/>
      <c r="E607" s="1071" t="s">
        <v>2203</v>
      </c>
      <c r="F607" s="416"/>
      <c r="I607" s="524"/>
    </row>
    <row r="608" spans="1:9">
      <c r="I608" s="524"/>
    </row>
    <row r="609" spans="1:9">
      <c r="A609" s="1283" t="s">
        <v>1083</v>
      </c>
      <c r="B609" s="1283"/>
      <c r="C609" s="1283"/>
      <c r="D609" s="1283"/>
      <c r="E609" s="1283"/>
      <c r="F609" s="1283"/>
      <c r="G609" s="1283"/>
      <c r="H609" s="1063"/>
      <c r="I609" s="1256"/>
    </row>
    <row r="610" spans="1:9">
      <c r="A610" s="480"/>
      <c r="B610" s="480"/>
      <c r="I610" s="524"/>
    </row>
    <row r="611" spans="1:9">
      <c r="A611" s="516"/>
      <c r="B611" s="516"/>
      <c r="C611" s="516"/>
      <c r="D611" s="1318" t="s">
        <v>1185</v>
      </c>
      <c r="E611" s="1318"/>
      <c r="F611" s="1318"/>
      <c r="I611" s="524"/>
    </row>
    <row r="612" spans="1:9">
      <c r="A612" s="516"/>
      <c r="B612" s="516"/>
      <c r="C612" s="516"/>
      <c r="D612" s="1318"/>
      <c r="E612" s="1318"/>
      <c r="F612" s="1318"/>
      <c r="I612" s="524"/>
    </row>
    <row r="613" spans="1:9">
      <c r="C613" s="517"/>
      <c r="D613" s="1317" t="s">
        <v>1186</v>
      </c>
      <c r="E613" s="1317"/>
      <c r="F613" s="1317"/>
      <c r="I613" s="524"/>
    </row>
    <row r="614" spans="1:9">
      <c r="C614" s="517"/>
      <c r="D614" s="478"/>
      <c r="E614" s="478"/>
      <c r="F614" s="478"/>
      <c r="I614" s="524"/>
    </row>
    <row r="615" spans="1:9" ht="12.75" customHeight="1">
      <c r="A615" s="524"/>
      <c r="B615" s="519" t="s">
        <v>2719</v>
      </c>
      <c r="D615" s="1293" t="s">
        <v>1187</v>
      </c>
      <c r="E615" s="1293"/>
      <c r="F615" s="1293"/>
      <c r="I615" s="524" t="s">
        <v>2149</v>
      </c>
    </row>
    <row r="616" spans="1:9">
      <c r="D616" s="1293"/>
      <c r="E616" s="1293"/>
      <c r="F616" s="1293"/>
      <c r="I616" s="524"/>
    </row>
    <row r="617" spans="1:9">
      <c r="I617" s="524"/>
    </row>
    <row r="618" spans="1:9">
      <c r="B618" s="519" t="s">
        <v>2719</v>
      </c>
      <c r="D618" s="1293" t="s">
        <v>1188</v>
      </c>
      <c r="E618" s="1293"/>
      <c r="F618" s="1293"/>
      <c r="I618" s="524" t="s">
        <v>2102</v>
      </c>
    </row>
    <row r="619" spans="1:9">
      <c r="C619" s="534"/>
      <c r="D619" s="1293"/>
      <c r="E619" s="1293"/>
      <c r="F619" s="1293"/>
      <c r="I619" s="524"/>
    </row>
    <row r="620" spans="1:9">
      <c r="C620" s="534"/>
      <c r="I620" s="524"/>
    </row>
    <row r="621" spans="1:9">
      <c r="B621" s="519" t="s">
        <v>2720</v>
      </c>
      <c r="C621" s="534"/>
      <c r="D621" s="1293" t="s">
        <v>1189</v>
      </c>
      <c r="E621" s="1293"/>
      <c r="F621" s="1293"/>
      <c r="I621" s="524" t="s">
        <v>2150</v>
      </c>
    </row>
    <row r="622" spans="1:9">
      <c r="C622" s="534"/>
      <c r="D622" s="1293"/>
      <c r="E622" s="1293"/>
      <c r="F622" s="1293"/>
      <c r="I622" s="534" t="s">
        <v>2151</v>
      </c>
    </row>
    <row r="623" spans="1:9">
      <c r="C623" s="534"/>
      <c r="I623" s="524"/>
    </row>
    <row r="624" spans="1:9">
      <c r="A624" s="1283" t="s">
        <v>1084</v>
      </c>
      <c r="B624" s="1283"/>
      <c r="C624" s="1283"/>
      <c r="D624" s="1283"/>
      <c r="E624" s="1283"/>
      <c r="F624" s="1283"/>
      <c r="G624" s="1283"/>
      <c r="H624" s="1063"/>
      <c r="I624" s="1256"/>
    </row>
    <row r="625" spans="1:9">
      <c r="A625" s="516"/>
      <c r="B625" s="516"/>
      <c r="C625" s="516"/>
      <c r="I625" s="524"/>
    </row>
    <row r="626" spans="1:9">
      <c r="C626" s="524"/>
      <c r="D626" s="1294" t="s">
        <v>1190</v>
      </c>
      <c r="E626" s="1294"/>
      <c r="F626" s="1294"/>
      <c r="I626" s="524"/>
    </row>
    <row r="627" spans="1:9">
      <c r="A627" s="524"/>
      <c r="B627" s="524"/>
      <c r="D627" s="435"/>
      <c r="I627" s="524"/>
    </row>
    <row r="628" spans="1:9" ht="14.25" customHeight="1">
      <c r="A628" s="518"/>
      <c r="B628" s="519" t="s">
        <v>2719</v>
      </c>
      <c r="D628" s="1335" t="s">
        <v>2374</v>
      </c>
      <c r="E628" s="1335"/>
      <c r="F628" s="1335"/>
      <c r="I628" s="524" t="s">
        <v>2130</v>
      </c>
    </row>
    <row r="629" spans="1:9">
      <c r="D629" s="1335"/>
      <c r="E629" s="1335"/>
      <c r="F629" s="1335"/>
      <c r="I629" s="524"/>
    </row>
    <row r="630" spans="1:9">
      <c r="D630" s="416"/>
      <c r="E630" s="1071" t="s">
        <v>2205</v>
      </c>
      <c r="F630" s="416"/>
      <c r="I630" s="524"/>
    </row>
    <row r="631" spans="1:9">
      <c r="D631" s="1295" t="s">
        <v>2204</v>
      </c>
      <c r="E631" s="1295"/>
      <c r="F631" s="1295"/>
      <c r="I631" s="524"/>
    </row>
    <row r="632" spans="1:9">
      <c r="D632" s="1295"/>
      <c r="E632" s="1295"/>
      <c r="F632" s="1295"/>
      <c r="I632" s="524"/>
    </row>
    <row r="633" spans="1:9">
      <c r="D633" s="1295"/>
      <c r="E633" s="1295"/>
      <c r="F633" s="1295"/>
      <c r="I633" s="524"/>
    </row>
    <row r="634" spans="1:9">
      <c r="D634" s="479"/>
      <c r="E634" s="479"/>
      <c r="F634" s="479"/>
      <c r="I634" s="524"/>
    </row>
    <row r="635" spans="1:9" ht="14.4">
      <c r="A635" s="518"/>
      <c r="B635" s="519" t="s">
        <v>2720</v>
      </c>
      <c r="D635" s="1295" t="s">
        <v>1192</v>
      </c>
      <c r="E635" s="1295"/>
      <c r="F635" s="1295"/>
      <c r="I635" s="524" t="s">
        <v>2152</v>
      </c>
    </row>
    <row r="636" spans="1:9">
      <c r="A636" s="521"/>
      <c r="B636" s="521"/>
      <c r="C636" s="521"/>
      <c r="D636" s="1295"/>
      <c r="E636" s="1295"/>
      <c r="F636" s="1295"/>
      <c r="I636" s="524"/>
    </row>
    <row r="637" spans="1:9">
      <c r="A637" s="521"/>
      <c r="B637" s="521"/>
      <c r="C637" s="521"/>
      <c r="D637" s="480"/>
      <c r="E637" s="480"/>
      <c r="F637" s="480"/>
      <c r="I637" s="524"/>
    </row>
    <row r="638" spans="1:9" ht="14.4">
      <c r="A638" s="518"/>
      <c r="B638" s="519" t="s">
        <v>2720</v>
      </c>
      <c r="C638" s="521"/>
      <c r="D638" s="1295" t="s">
        <v>1331</v>
      </c>
      <c r="E638" s="1295"/>
      <c r="F638" s="1295"/>
      <c r="I638" s="524" t="s">
        <v>2103</v>
      </c>
    </row>
    <row r="639" spans="1:9" ht="14.4">
      <c r="A639" s="518"/>
      <c r="B639" s="518"/>
      <c r="C639" s="521"/>
      <c r="D639" s="1295"/>
      <c r="E639" s="1295"/>
      <c r="F639" s="1295"/>
      <c r="I639" s="524"/>
    </row>
    <row r="640" spans="1:9" ht="14.4">
      <c r="A640" s="518"/>
      <c r="B640" s="518"/>
      <c r="C640" s="521"/>
      <c r="D640" s="1295"/>
      <c r="E640" s="1295"/>
      <c r="F640" s="1295"/>
      <c r="I640" s="524"/>
    </row>
    <row r="641" spans="1:9">
      <c r="A641" s="521"/>
      <c r="B641" s="519" t="s">
        <v>2720</v>
      </c>
      <c r="C641" s="521"/>
      <c r="D641" s="1296" t="s">
        <v>1194</v>
      </c>
      <c r="E641" s="1296"/>
      <c r="F641" s="1296"/>
      <c r="I641" s="524" t="s">
        <v>2103</v>
      </c>
    </row>
    <row r="642" spans="1:9">
      <c r="A642" s="521"/>
      <c r="B642" s="521"/>
      <c r="C642" s="521"/>
      <c r="D642" s="480"/>
      <c r="E642" s="480"/>
      <c r="F642" s="480"/>
      <c r="I642" s="524"/>
    </row>
    <row r="643" spans="1:9">
      <c r="A643" s="1283" t="s">
        <v>1085</v>
      </c>
      <c r="B643" s="1283"/>
      <c r="C643" s="1283"/>
      <c r="D643" s="1283"/>
      <c r="E643" s="1283"/>
      <c r="F643" s="1283"/>
      <c r="G643" s="1283"/>
      <c r="H643" s="1063"/>
      <c r="I643" s="1256"/>
    </row>
    <row r="644" spans="1:9">
      <c r="A644" s="480"/>
      <c r="B644" s="480"/>
      <c r="C644" s="521"/>
      <c r="D644" s="480"/>
      <c r="E644" s="480"/>
      <c r="F644" s="480"/>
      <c r="I644" s="524"/>
    </row>
    <row r="645" spans="1:9">
      <c r="C645" s="516"/>
      <c r="D645" s="1294" t="s">
        <v>1244</v>
      </c>
      <c r="E645" s="1294"/>
      <c r="F645" s="1294"/>
      <c r="I645" s="524"/>
    </row>
    <row r="646" spans="1:9">
      <c r="A646" s="517"/>
      <c r="B646" s="517"/>
      <c r="C646" s="517"/>
      <c r="D646" s="1296" t="s">
        <v>1245</v>
      </c>
      <c r="E646" s="1296"/>
      <c r="F646" s="1296"/>
      <c r="I646" s="524"/>
    </row>
    <row r="647" spans="1:9">
      <c r="A647" s="517"/>
      <c r="B647" s="517"/>
      <c r="C647" s="517"/>
      <c r="D647" s="480"/>
      <c r="E647" s="480"/>
      <c r="F647" s="480"/>
      <c r="I647" s="524"/>
    </row>
    <row r="648" spans="1:9" ht="12.75" customHeight="1">
      <c r="B648" s="519" t="s">
        <v>2720</v>
      </c>
      <c r="C648" s="521"/>
      <c r="D648" s="1295" t="s">
        <v>1388</v>
      </c>
      <c r="E648" s="1295"/>
      <c r="F648" s="1295"/>
      <c r="I648" s="524" t="s">
        <v>2155</v>
      </c>
    </row>
    <row r="649" spans="1:9">
      <c r="D649" s="1295"/>
      <c r="E649" s="1295"/>
      <c r="F649" s="1295"/>
      <c r="I649" s="524"/>
    </row>
    <row r="650" spans="1:9">
      <c r="D650" s="1295"/>
      <c r="E650" s="1295"/>
      <c r="F650" s="1295"/>
      <c r="I650" s="524"/>
    </row>
    <row r="651" spans="1:9">
      <c r="D651" s="1295"/>
      <c r="E651" s="1295"/>
      <c r="F651" s="1295"/>
      <c r="I651" s="524"/>
    </row>
    <row r="652" spans="1:9" ht="14.55" customHeight="1">
      <c r="A652" s="518"/>
      <c r="B652" s="518"/>
      <c r="C652" s="521"/>
      <c r="D652" s="416"/>
      <c r="E652" s="416"/>
      <c r="F652" s="416"/>
      <c r="I652" s="524"/>
    </row>
    <row r="653" spans="1:9" ht="12.75" customHeight="1">
      <c r="A653" s="517"/>
      <c r="B653" s="519" t="s">
        <v>2719</v>
      </c>
      <c r="C653" s="521"/>
      <c r="D653" s="1295" t="s">
        <v>1390</v>
      </c>
      <c r="E653" s="1295"/>
      <c r="F653" s="1295"/>
      <c r="I653" s="524" t="s">
        <v>2155</v>
      </c>
    </row>
    <row r="654" spans="1:9" ht="14.4">
      <c r="A654" s="517"/>
      <c r="B654" s="518"/>
      <c r="C654" s="521"/>
      <c r="D654" s="1295"/>
      <c r="E654" s="1295"/>
      <c r="F654" s="1295"/>
      <c r="I654" s="524"/>
    </row>
    <row r="655" spans="1:9" ht="14.4">
      <c r="A655" s="517"/>
      <c r="B655" s="518"/>
      <c r="C655" s="521"/>
      <c r="D655" s="1295"/>
      <c r="E655" s="1295"/>
      <c r="F655" s="1295"/>
      <c r="I655" s="524"/>
    </row>
    <row r="656" spans="1:9" ht="14.4">
      <c r="A656" s="517"/>
      <c r="B656" s="518"/>
      <c r="C656" s="521"/>
      <c r="D656" s="1295"/>
      <c r="E656" s="1295"/>
      <c r="F656" s="1295"/>
      <c r="I656" s="524"/>
    </row>
    <row r="657" spans="1:9" ht="14.4">
      <c r="A657" s="517"/>
      <c r="B657" s="518"/>
      <c r="C657" s="521"/>
      <c r="D657" s="1295"/>
      <c r="E657" s="1295"/>
      <c r="F657" s="1295"/>
      <c r="I657" s="524"/>
    </row>
    <row r="658" spans="1:9" ht="14.25" customHeight="1">
      <c r="A658" s="517"/>
      <c r="B658" s="518"/>
      <c r="C658" s="521"/>
      <c r="F658" s="417"/>
      <c r="I658" s="524"/>
    </row>
    <row r="659" spans="1:9" ht="12.75" customHeight="1">
      <c r="A659" s="517"/>
      <c r="B659" s="519" t="s">
        <v>2720</v>
      </c>
      <c r="C659" s="521"/>
      <c r="D659" s="1295" t="s">
        <v>1389</v>
      </c>
      <c r="E659" s="1295"/>
      <c r="F659" s="1295"/>
      <c r="I659" s="524" t="s">
        <v>2155</v>
      </c>
    </row>
    <row r="660" spans="1:9" ht="14.4">
      <c r="A660" s="517"/>
      <c r="B660" s="518"/>
      <c r="C660" s="521"/>
      <c r="D660" s="1295"/>
      <c r="E660" s="1295"/>
      <c r="F660" s="1295"/>
      <c r="I660" s="524"/>
    </row>
    <row r="661" spans="1:9" ht="14.4">
      <c r="A661" s="518"/>
      <c r="B661" s="518"/>
      <c r="C661" s="521"/>
      <c r="D661" s="1295"/>
      <c r="E661" s="1295"/>
      <c r="F661" s="1295"/>
      <c r="I661" s="524"/>
    </row>
    <row r="662" spans="1:9" ht="14.4">
      <c r="A662" s="518"/>
      <c r="B662" s="518"/>
      <c r="C662" s="521"/>
      <c r="D662" s="1295"/>
      <c r="E662" s="1295"/>
      <c r="F662" s="1295"/>
      <c r="I662" s="524"/>
    </row>
    <row r="663" spans="1:9" ht="14.4">
      <c r="A663" s="518"/>
      <c r="B663" s="518"/>
      <c r="C663" s="521"/>
      <c r="D663" s="479"/>
      <c r="E663" s="479"/>
      <c r="F663" s="479"/>
      <c r="I663" s="524"/>
    </row>
    <row r="664" spans="1:9" ht="12.75" customHeight="1">
      <c r="A664" s="517"/>
      <c r="B664" s="519" t="s">
        <v>2720</v>
      </c>
      <c r="C664" s="521"/>
      <c r="D664" s="1295" t="s">
        <v>2375</v>
      </c>
      <c r="E664" s="1295"/>
      <c r="F664" s="1295"/>
      <c r="I664" s="524" t="s">
        <v>2155</v>
      </c>
    </row>
    <row r="665" spans="1:9" ht="12.75" customHeight="1">
      <c r="A665" s="517"/>
      <c r="B665" s="518"/>
      <c r="C665" s="521"/>
      <c r="D665" s="1295"/>
      <c r="E665" s="1295"/>
      <c r="F665" s="1295"/>
      <c r="I665" s="524"/>
    </row>
    <row r="666" spans="1:9" ht="12.75" customHeight="1">
      <c r="A666" s="517"/>
      <c r="B666" s="518"/>
      <c r="C666" s="521"/>
      <c r="D666" s="1295"/>
      <c r="E666" s="1295"/>
      <c r="F666" s="1295"/>
      <c r="I666" s="524"/>
    </row>
    <row r="667" spans="1:9" ht="12.75" customHeight="1">
      <c r="A667" s="517"/>
      <c r="B667" s="518"/>
      <c r="C667" s="521"/>
      <c r="D667" s="1295"/>
      <c r="E667" s="1295"/>
      <c r="F667" s="1295"/>
      <c r="I667" s="524"/>
    </row>
    <row r="668" spans="1:9" ht="12.75" customHeight="1">
      <c r="A668" s="517"/>
      <c r="B668" s="518"/>
      <c r="C668" s="521"/>
      <c r="D668" s="1295"/>
      <c r="E668" s="1295"/>
      <c r="F668" s="1295"/>
      <c r="I668" s="524"/>
    </row>
    <row r="669" spans="1:9" ht="12.75" customHeight="1">
      <c r="A669" s="517"/>
      <c r="B669" s="518"/>
      <c r="C669" s="521"/>
      <c r="D669" s="1295"/>
      <c r="E669" s="1295"/>
      <c r="F669" s="1295"/>
      <c r="I669" s="524"/>
    </row>
    <row r="670" spans="1:9" ht="12.75" customHeight="1">
      <c r="A670" s="517"/>
      <c r="B670" s="518"/>
      <c r="C670" s="521"/>
      <c r="D670" s="1295"/>
      <c r="E670" s="1295"/>
      <c r="F670" s="1295"/>
      <c r="I670" s="524"/>
    </row>
    <row r="671" spans="1:9" ht="12.75" customHeight="1">
      <c r="A671" s="517"/>
      <c r="B671" s="518"/>
      <c r="C671" s="521"/>
      <c r="D671" s="1295"/>
      <c r="E671" s="1295"/>
      <c r="F671" s="1295"/>
      <c r="I671" s="524"/>
    </row>
    <row r="672" spans="1:9" ht="12.75" customHeight="1">
      <c r="A672" s="517"/>
      <c r="B672" s="518"/>
      <c r="C672" s="521"/>
      <c r="D672" s="1295"/>
      <c r="E672" s="1295"/>
      <c r="F672" s="1295"/>
      <c r="I672" s="524"/>
    </row>
    <row r="673" spans="1:11">
      <c r="A673" s="521"/>
      <c r="B673" s="521"/>
      <c r="C673" s="521"/>
      <c r="D673" s="480"/>
      <c r="E673" s="480"/>
      <c r="F673" s="480"/>
      <c r="I673" s="524"/>
    </row>
    <row r="674" spans="1:11">
      <c r="A674" s="1283" t="s">
        <v>1086</v>
      </c>
      <c r="B674" s="1283"/>
      <c r="C674" s="1283"/>
      <c r="D674" s="1283"/>
      <c r="E674" s="1283"/>
      <c r="F674" s="1283"/>
      <c r="G674" s="1283"/>
      <c r="H674" s="1065"/>
      <c r="I674" s="1260"/>
      <c r="J674" s="535"/>
      <c r="K674" s="535"/>
    </row>
    <row r="675" spans="1:11">
      <c r="A675" s="482"/>
      <c r="B675" s="482"/>
      <c r="C675" s="482"/>
      <c r="D675" s="482"/>
      <c r="E675" s="482"/>
      <c r="F675" s="482"/>
      <c r="G675" s="482"/>
      <c r="H675" s="535"/>
      <c r="I675" s="517"/>
      <c r="J675" s="535"/>
      <c r="K675" s="535"/>
    </row>
    <row r="676" spans="1:11">
      <c r="C676" s="516"/>
      <c r="D676" s="1294" t="s">
        <v>99</v>
      </c>
      <c r="E676" s="1294"/>
      <c r="F676" s="1294"/>
      <c r="H676" s="535"/>
      <c r="I676" s="517"/>
      <c r="J676" s="535"/>
      <c r="K676" s="535"/>
    </row>
    <row r="677" spans="1:11">
      <c r="A677" s="516"/>
      <c r="B677" s="516"/>
      <c r="C677" s="516"/>
      <c r="D677" s="1294" t="s">
        <v>123</v>
      </c>
      <c r="E677" s="1294"/>
      <c r="F677" s="1294"/>
      <c r="H677" s="535"/>
      <c r="I677" s="517"/>
      <c r="J677" s="535"/>
      <c r="K677" s="535"/>
    </row>
    <row r="678" spans="1:11">
      <c r="A678" s="517"/>
      <c r="B678" s="517"/>
      <c r="C678" s="517"/>
      <c r="D678" s="1296" t="s">
        <v>1122</v>
      </c>
      <c r="E678" s="1296"/>
      <c r="F678" s="1296"/>
      <c r="H678" s="535"/>
      <c r="I678" s="517"/>
      <c r="J678" s="535"/>
      <c r="K678" s="535"/>
    </row>
    <row r="679" spans="1:11">
      <c r="A679" s="517"/>
      <c r="B679" s="517"/>
      <c r="C679" s="517"/>
      <c r="H679" s="535"/>
      <c r="I679" s="517"/>
      <c r="J679" s="535"/>
      <c r="K679" s="535"/>
    </row>
    <row r="680" spans="1:11" ht="14.4">
      <c r="A680" s="518"/>
      <c r="B680" s="519" t="s">
        <v>2720</v>
      </c>
      <c r="C680" s="517"/>
      <c r="D680" s="1296" t="s">
        <v>897</v>
      </c>
      <c r="E680" s="1296"/>
      <c r="F680" s="1296"/>
      <c r="H680" s="535"/>
      <c r="I680" s="517" t="s">
        <v>2131</v>
      </c>
      <c r="J680" s="535"/>
      <c r="K680" s="535"/>
    </row>
    <row r="681" spans="1:11">
      <c r="A681" s="517"/>
      <c r="B681" s="517"/>
      <c r="C681" s="517"/>
      <c r="D681" s="1296" t="s">
        <v>907</v>
      </c>
      <c r="E681" s="1296"/>
      <c r="F681" s="1296"/>
      <c r="H681" s="535"/>
      <c r="I681" s="517"/>
      <c r="J681" s="535"/>
      <c r="K681" s="535"/>
    </row>
    <row r="682" spans="1:11" ht="12.75" customHeight="1">
      <c r="A682" s="517"/>
      <c r="B682" s="517"/>
      <c r="C682" s="517"/>
      <c r="E682" s="1071" t="s">
        <v>2207</v>
      </c>
      <c r="F682" s="451"/>
      <c r="H682" s="535"/>
      <c r="I682" s="517"/>
      <c r="J682" s="535"/>
      <c r="K682" s="535"/>
    </row>
    <row r="683" spans="1:11">
      <c r="A683" s="517"/>
      <c r="B683" s="517"/>
      <c r="C683" s="517"/>
      <c r="E683" s="535" t="s">
        <v>2206</v>
      </c>
      <c r="F683" s="451"/>
      <c r="I683" s="517"/>
      <c r="J683" s="535"/>
      <c r="K683" s="535"/>
    </row>
    <row r="684" spans="1:11">
      <c r="A684" s="517"/>
      <c r="B684" s="517"/>
      <c r="C684" s="517"/>
      <c r="D684" s="536"/>
      <c r="E684" s="480"/>
      <c r="H684" s="535"/>
      <c r="I684" s="517"/>
      <c r="J684" s="535"/>
      <c r="K684" s="535"/>
    </row>
    <row r="685" spans="1:11" ht="14.4">
      <c r="A685" s="518"/>
      <c r="B685" s="519" t="s">
        <v>2719</v>
      </c>
      <c r="C685" s="517"/>
      <c r="D685" s="1295" t="s">
        <v>2376</v>
      </c>
      <c r="E685" s="1295"/>
      <c r="F685" s="1295"/>
      <c r="H685" s="535"/>
      <c r="I685" s="517" t="s">
        <v>2153</v>
      </c>
      <c r="J685" s="535"/>
      <c r="K685" s="535"/>
    </row>
    <row r="686" spans="1:11">
      <c r="A686" s="524"/>
      <c r="B686" s="524"/>
      <c r="C686" s="517"/>
      <c r="D686" s="1295"/>
      <c r="E686" s="1295"/>
      <c r="F686" s="1295"/>
      <c r="H686" s="535"/>
      <c r="I686" s="517"/>
      <c r="J686" s="535"/>
      <c r="K686" s="535"/>
    </row>
    <row r="687" spans="1:11">
      <c r="A687" s="517"/>
      <c r="B687" s="517"/>
      <c r="C687" s="517"/>
      <c r="D687" s="1295"/>
      <c r="E687" s="1295"/>
      <c r="F687" s="1295"/>
      <c r="H687" s="535"/>
      <c r="I687" s="517"/>
      <c r="J687" s="535"/>
      <c r="K687" s="535"/>
    </row>
    <row r="688" spans="1:11">
      <c r="A688" s="517"/>
      <c r="B688" s="517"/>
      <c r="C688" s="517"/>
      <c r="H688" s="535"/>
      <c r="I688" s="517" t="s">
        <v>2132</v>
      </c>
      <c r="J688" s="535"/>
      <c r="K688" s="535"/>
    </row>
    <row r="689" spans="1:11" ht="14.4">
      <c r="A689" s="518"/>
      <c r="B689" s="519" t="s">
        <v>2719</v>
      </c>
      <c r="C689" s="517"/>
      <c r="D689" s="1296" t="s">
        <v>935</v>
      </c>
      <c r="E689" s="1296"/>
      <c r="F689" s="1296"/>
      <c r="H689" s="535"/>
      <c r="I689" s="517"/>
      <c r="J689" s="535"/>
      <c r="K689" s="535"/>
    </row>
    <row r="690" spans="1:11" ht="14.4">
      <c r="A690" s="518"/>
      <c r="B690" s="518"/>
      <c r="C690" s="517"/>
      <c r="D690" s="1296" t="s">
        <v>907</v>
      </c>
      <c r="E690" s="1296"/>
      <c r="F690" s="1296"/>
      <c r="H690" s="535"/>
      <c r="I690" s="517"/>
      <c r="J690" s="535"/>
      <c r="K690" s="535"/>
    </row>
    <row r="691" spans="1:11">
      <c r="A691" s="517"/>
      <c r="B691" s="517"/>
      <c r="C691" s="517"/>
      <c r="E691" s="1071" t="s">
        <v>2208</v>
      </c>
      <c r="F691" s="435"/>
      <c r="H691" s="535"/>
      <c r="I691" s="517"/>
      <c r="J691" s="535"/>
      <c r="K691" s="535"/>
    </row>
    <row r="692" spans="1:11">
      <c r="A692" s="517"/>
      <c r="B692" s="517"/>
      <c r="C692" s="517"/>
      <c r="D692" s="435"/>
      <c r="H692" s="535"/>
      <c r="I692" s="517"/>
      <c r="J692" s="535"/>
      <c r="K692" s="535"/>
    </row>
    <row r="693" spans="1:11" ht="14.4">
      <c r="A693" s="518"/>
      <c r="B693" s="519" t="s">
        <v>2719</v>
      </c>
      <c r="C693" s="517"/>
      <c r="D693" s="1295" t="s">
        <v>1135</v>
      </c>
      <c r="E693" s="1295"/>
      <c r="F693" s="1295"/>
      <c r="H693" s="535"/>
      <c r="I693" s="517" t="s">
        <v>2104</v>
      </c>
      <c r="J693" s="535"/>
      <c r="K693" s="535"/>
    </row>
    <row r="694" spans="1:11">
      <c r="A694" s="517"/>
      <c r="B694" s="517"/>
      <c r="C694" s="517"/>
      <c r="D694" s="1295"/>
      <c r="E694" s="1295"/>
      <c r="F694" s="1295"/>
      <c r="H694" s="535"/>
      <c r="I694" s="517"/>
      <c r="J694" s="535"/>
      <c r="K694" s="535"/>
    </row>
    <row r="695" spans="1:11">
      <c r="A695" s="517"/>
      <c r="B695" s="517"/>
      <c r="C695" s="517"/>
      <c r="D695" s="1295"/>
      <c r="E695" s="1295"/>
      <c r="F695" s="1295"/>
      <c r="H695" s="535"/>
      <c r="I695" s="517"/>
      <c r="J695" s="535"/>
      <c r="K695" s="535"/>
    </row>
    <row r="696" spans="1:11">
      <c r="A696" s="517"/>
      <c r="B696" s="517"/>
      <c r="C696" s="517"/>
      <c r="D696" s="1295"/>
      <c r="E696" s="1295"/>
      <c r="F696" s="1295"/>
      <c r="H696" s="535"/>
      <c r="I696" s="517"/>
      <c r="J696" s="535"/>
      <c r="K696" s="535"/>
    </row>
    <row r="697" spans="1:11">
      <c r="A697" s="517"/>
      <c r="B697" s="517"/>
      <c r="C697" s="517"/>
      <c r="D697" s="1295"/>
      <c r="E697" s="1295"/>
      <c r="F697" s="1295"/>
      <c r="H697" s="535"/>
      <c r="I697" s="517"/>
      <c r="J697" s="535"/>
      <c r="K697" s="535"/>
    </row>
    <row r="698" spans="1:11">
      <c r="A698" s="517"/>
      <c r="B698" s="517"/>
      <c r="C698" s="517"/>
      <c r="D698" s="1295"/>
      <c r="E698" s="1295"/>
      <c r="F698" s="1295"/>
      <c r="H698" s="535"/>
      <c r="I698" s="517"/>
      <c r="J698" s="535"/>
      <c r="K698" s="535"/>
    </row>
    <row r="699" spans="1:11">
      <c r="A699" s="517"/>
      <c r="B699" s="517"/>
      <c r="C699" s="517"/>
      <c r="D699" s="479"/>
      <c r="E699" s="479"/>
      <c r="F699" s="479"/>
      <c r="H699" s="535"/>
      <c r="I699" s="517"/>
      <c r="J699" s="535"/>
      <c r="K699" s="535"/>
    </row>
    <row r="700" spans="1:11">
      <c r="A700" s="517"/>
      <c r="B700" s="519" t="s">
        <v>2720</v>
      </c>
      <c r="C700" s="517"/>
      <c r="D700" s="1295" t="s">
        <v>1306</v>
      </c>
      <c r="E700" s="1295"/>
      <c r="F700" s="1295"/>
      <c r="H700" s="535"/>
      <c r="I700" s="517" t="s">
        <v>2104</v>
      </c>
      <c r="J700" s="535"/>
      <c r="K700" s="535"/>
    </row>
    <row r="701" spans="1:11">
      <c r="A701" s="517"/>
      <c r="B701" s="517"/>
      <c r="C701" s="517"/>
      <c r="D701" s="1295"/>
      <c r="E701" s="1295"/>
      <c r="F701" s="1295"/>
      <c r="H701" s="535"/>
      <c r="I701" s="517"/>
      <c r="J701" s="535"/>
      <c r="K701" s="535"/>
    </row>
    <row r="702" spans="1:11">
      <c r="A702" s="517"/>
      <c r="B702" s="517"/>
      <c r="C702" s="517"/>
      <c r="D702" s="479"/>
      <c r="E702" s="479"/>
      <c r="F702" s="479"/>
      <c r="H702" s="535"/>
      <c r="I702" s="517"/>
      <c r="J702" s="535"/>
      <c r="K702" s="535"/>
    </row>
    <row r="703" spans="1:11" ht="14.4">
      <c r="A703" s="518"/>
      <c r="B703" s="519" t="s">
        <v>2720</v>
      </c>
      <c r="C703" s="517"/>
      <c r="D703" s="1295" t="s">
        <v>1126</v>
      </c>
      <c r="E703" s="1295"/>
      <c r="F703" s="1295"/>
      <c r="H703" s="535"/>
      <c r="I703" s="517" t="s">
        <v>2104</v>
      </c>
      <c r="J703" s="535"/>
      <c r="K703" s="535"/>
    </row>
    <row r="704" spans="1:11">
      <c r="A704" s="517"/>
      <c r="B704" s="517"/>
      <c r="C704" s="517"/>
      <c r="D704" s="1295"/>
      <c r="E704" s="1295"/>
      <c r="F704" s="1295"/>
      <c r="H704" s="535"/>
      <c r="I704" s="517"/>
      <c r="J704" s="535"/>
      <c r="K704" s="535"/>
    </row>
    <row r="705" spans="1:11">
      <c r="A705" s="517"/>
      <c r="B705" s="517"/>
      <c r="C705" s="517"/>
      <c r="D705" s="1295"/>
      <c r="E705" s="1295"/>
      <c r="F705" s="1295"/>
      <c r="H705" s="535"/>
      <c r="I705" s="517"/>
      <c r="J705" s="535"/>
      <c r="K705" s="535"/>
    </row>
    <row r="706" spans="1:11" ht="15" customHeight="1">
      <c r="A706" s="517"/>
      <c r="B706" s="517"/>
      <c r="C706" s="517"/>
      <c r="D706" s="1295"/>
      <c r="E706" s="1295"/>
      <c r="F706" s="1295"/>
      <c r="H706" s="535"/>
      <c r="I706" s="517"/>
      <c r="J706" s="535"/>
      <c r="K706" s="535"/>
    </row>
    <row r="707" spans="1:11" ht="15" customHeight="1">
      <c r="A707" s="517"/>
      <c r="B707" s="517"/>
      <c r="C707" s="517"/>
      <c r="D707" s="1295"/>
      <c r="E707" s="1295"/>
      <c r="F707" s="1295"/>
      <c r="H707" s="535"/>
      <c r="I707" s="517"/>
      <c r="J707" s="535"/>
      <c r="K707" s="535"/>
    </row>
    <row r="708" spans="1:11">
      <c r="A708" s="517"/>
      <c r="B708" s="517"/>
      <c r="C708" s="517"/>
      <c r="D708" s="1295"/>
      <c r="E708" s="1295"/>
      <c r="F708" s="1295"/>
      <c r="H708" s="535"/>
      <c r="I708" s="517"/>
      <c r="J708" s="535"/>
      <c r="K708" s="535"/>
    </row>
    <row r="709" spans="1:11">
      <c r="A709" s="517"/>
      <c r="B709" s="517"/>
      <c r="C709" s="517"/>
      <c r="D709" s="1295"/>
      <c r="E709" s="1295"/>
      <c r="F709" s="1295"/>
      <c r="H709" s="535"/>
      <c r="I709" s="517"/>
      <c r="J709" s="535"/>
      <c r="K709" s="535"/>
    </row>
    <row r="710" spans="1:11">
      <c r="A710" s="517"/>
      <c r="B710" s="517"/>
      <c r="C710" s="517"/>
      <c r="D710" s="1295"/>
      <c r="E710" s="1295"/>
      <c r="F710" s="1295"/>
      <c r="H710" s="535"/>
      <c r="I710" s="517"/>
      <c r="J710" s="535"/>
      <c r="K710" s="535"/>
    </row>
    <row r="711" spans="1:11" ht="15" customHeight="1">
      <c r="A711" s="517"/>
      <c r="B711" s="517"/>
      <c r="C711" s="517"/>
      <c r="D711" s="1295"/>
      <c r="E711" s="1295"/>
      <c r="F711" s="1295"/>
      <c r="H711" s="535"/>
      <c r="I711" s="517"/>
      <c r="J711" s="535"/>
      <c r="K711" s="535"/>
    </row>
    <row r="712" spans="1:11">
      <c r="A712" s="517"/>
      <c r="B712" s="517"/>
      <c r="C712" s="517"/>
      <c r="D712" s="1295"/>
      <c r="E712" s="1295"/>
      <c r="F712" s="1295"/>
      <c r="H712" s="535"/>
      <c r="I712" s="517"/>
      <c r="J712" s="535"/>
      <c r="K712" s="535"/>
    </row>
    <row r="713" spans="1:11">
      <c r="A713" s="517"/>
      <c r="B713" s="517"/>
      <c r="C713" s="517"/>
      <c r="D713" s="1295"/>
      <c r="E713" s="1295"/>
      <c r="F713" s="1295"/>
      <c r="H713" s="535"/>
      <c r="I713" s="517"/>
      <c r="J713" s="535"/>
      <c r="K713" s="535"/>
    </row>
    <row r="714" spans="1:11">
      <c r="A714" s="517"/>
      <c r="B714" s="517"/>
      <c r="C714" s="517"/>
      <c r="D714" s="1295"/>
      <c r="E714" s="1295"/>
      <c r="F714" s="1295"/>
      <c r="H714" s="535"/>
      <c r="I714" s="517"/>
      <c r="J714" s="535"/>
      <c r="K714" s="535"/>
    </row>
    <row r="715" spans="1:11">
      <c r="A715" s="517"/>
      <c r="B715" s="517"/>
      <c r="C715" s="517"/>
      <c r="D715" s="1295"/>
      <c r="E715" s="1295"/>
      <c r="F715" s="1295"/>
      <c r="H715" s="535"/>
      <c r="I715" s="517"/>
      <c r="J715" s="535"/>
      <c r="K715" s="535"/>
    </row>
    <row r="716" spans="1:11">
      <c r="A716" s="517"/>
      <c r="B716" s="519" t="s">
        <v>2720</v>
      </c>
      <c r="C716" s="517"/>
      <c r="D716" s="1295" t="s">
        <v>1133</v>
      </c>
      <c r="E716" s="1295"/>
      <c r="F716" s="1295"/>
      <c r="H716" s="535"/>
      <c r="I716" s="517" t="s">
        <v>2154</v>
      </c>
      <c r="J716" s="535"/>
      <c r="K716" s="535"/>
    </row>
    <row r="717" spans="1:11">
      <c r="A717" s="517"/>
      <c r="B717" s="517"/>
      <c r="C717" s="517"/>
      <c r="D717" s="1295"/>
      <c r="E717" s="1295"/>
      <c r="F717" s="1295"/>
      <c r="H717" s="535"/>
      <c r="I717" s="517"/>
      <c r="J717" s="535"/>
      <c r="K717" s="535"/>
    </row>
    <row r="718" spans="1:11">
      <c r="A718" s="517"/>
      <c r="B718" s="517"/>
      <c r="C718" s="517"/>
      <c r="D718" s="479"/>
      <c r="E718" s="479"/>
      <c r="F718" s="479"/>
      <c r="H718" s="535"/>
      <c r="I718" s="517"/>
      <c r="J718" s="535"/>
      <c r="K718" s="535"/>
    </row>
    <row r="719" spans="1:11">
      <c r="A719" s="517"/>
      <c r="B719" s="519" t="s">
        <v>2720</v>
      </c>
      <c r="C719" s="517"/>
      <c r="D719" s="1295" t="s">
        <v>1127</v>
      </c>
      <c r="E719" s="1295"/>
      <c r="F719" s="1295"/>
      <c r="H719" s="535"/>
      <c r="I719" s="517" t="s">
        <v>2154</v>
      </c>
      <c r="J719" s="535"/>
      <c r="K719" s="535"/>
    </row>
    <row r="720" spans="1:11">
      <c r="A720" s="517"/>
      <c r="B720" s="517"/>
      <c r="C720" s="517"/>
      <c r="D720" s="1295"/>
      <c r="E720" s="1295"/>
      <c r="F720" s="1295"/>
      <c r="H720" s="535"/>
      <c r="I720" s="517"/>
      <c r="J720" s="535"/>
      <c r="K720" s="535"/>
    </row>
    <row r="721" spans="1:11">
      <c r="A721" s="517"/>
      <c r="B721" s="517"/>
      <c r="C721" s="517"/>
      <c r="D721" s="1295"/>
      <c r="E721" s="1295"/>
      <c r="F721" s="1295"/>
      <c r="H721" s="535"/>
      <c r="I721" s="517"/>
      <c r="J721" s="535"/>
      <c r="K721" s="535"/>
    </row>
    <row r="722" spans="1:11">
      <c r="A722" s="517"/>
      <c r="B722" s="517"/>
      <c r="C722" s="517"/>
      <c r="H722" s="535"/>
      <c r="I722" s="517"/>
      <c r="J722" s="535"/>
      <c r="K722" s="535"/>
    </row>
    <row r="723" spans="1:11">
      <c r="A723" s="517"/>
      <c r="B723" s="519" t="s">
        <v>2720</v>
      </c>
      <c r="C723" s="517"/>
      <c r="D723" s="1295" t="s">
        <v>1128</v>
      </c>
      <c r="E723" s="1295"/>
      <c r="F723" s="1295"/>
      <c r="H723" s="535"/>
      <c r="I723" s="517" t="s">
        <v>2154</v>
      </c>
      <c r="J723" s="535"/>
      <c r="K723" s="535"/>
    </row>
    <row r="724" spans="1:11">
      <c r="A724" s="517"/>
      <c r="B724" s="517"/>
      <c r="C724" s="517"/>
      <c r="D724" s="1295"/>
      <c r="E724" s="1295"/>
      <c r="F724" s="1295"/>
      <c r="H724" s="535"/>
      <c r="I724" s="517"/>
      <c r="J724" s="535"/>
      <c r="K724" s="535"/>
    </row>
    <row r="725" spans="1:11">
      <c r="A725" s="517"/>
      <c r="B725" s="517"/>
      <c r="C725" s="517"/>
      <c r="D725" s="1295"/>
      <c r="E725" s="1295"/>
      <c r="F725" s="1295"/>
      <c r="H725" s="535"/>
      <c r="I725" s="517"/>
      <c r="J725" s="535"/>
      <c r="K725" s="535"/>
    </row>
    <row r="726" spans="1:11">
      <c r="A726" s="517"/>
      <c r="B726" s="517"/>
      <c r="C726" s="517"/>
      <c r="H726" s="535"/>
      <c r="I726" s="517"/>
      <c r="J726" s="535"/>
      <c r="K726" s="535"/>
    </row>
    <row r="727" spans="1:11" ht="14.4">
      <c r="A727" s="518"/>
      <c r="B727" s="519" t="s">
        <v>2720</v>
      </c>
      <c r="C727" s="517"/>
      <c r="D727" s="1295" t="s">
        <v>1129</v>
      </c>
      <c r="E727" s="1295"/>
      <c r="F727" s="1295"/>
      <c r="H727" s="535"/>
      <c r="I727" s="517" t="s">
        <v>2105</v>
      </c>
      <c r="J727" s="535"/>
      <c r="K727" s="535"/>
    </row>
    <row r="728" spans="1:11">
      <c r="A728" s="517"/>
      <c r="B728" s="517"/>
      <c r="C728" s="517"/>
      <c r="D728" s="1295"/>
      <c r="E728" s="1295"/>
      <c r="F728" s="1295"/>
      <c r="H728" s="535"/>
      <c r="I728" s="517"/>
      <c r="J728" s="535"/>
      <c r="K728" s="535"/>
    </row>
    <row r="729" spans="1:11">
      <c r="A729" s="517"/>
      <c r="B729" s="517"/>
      <c r="C729" s="517"/>
      <c r="D729" s="1295"/>
      <c r="E729" s="1295"/>
      <c r="F729" s="1295"/>
      <c r="H729" s="535"/>
      <c r="I729" s="517"/>
      <c r="J729" s="535"/>
      <c r="K729" s="535"/>
    </row>
    <row r="730" spans="1:11">
      <c r="A730" s="517"/>
      <c r="B730" s="517"/>
      <c r="C730" s="517"/>
      <c r="D730" s="1295"/>
      <c r="E730" s="1295"/>
      <c r="F730" s="1295"/>
      <c r="H730" s="535"/>
      <c r="I730" s="517"/>
      <c r="J730" s="535"/>
      <c r="K730" s="535"/>
    </row>
    <row r="731" spans="1:11">
      <c r="A731" s="517"/>
      <c r="B731" s="517"/>
      <c r="C731" s="517"/>
      <c r="D731" s="526"/>
      <c r="H731" s="535"/>
      <c r="I731" s="517"/>
      <c r="J731" s="535"/>
      <c r="K731" s="535"/>
    </row>
    <row r="732" spans="1:11" ht="14.4">
      <c r="A732" s="518"/>
      <c r="B732" s="519" t="s">
        <v>2720</v>
      </c>
      <c r="C732" s="517"/>
      <c r="D732" s="1295" t="s">
        <v>2499</v>
      </c>
      <c r="E732" s="1295"/>
      <c r="F732" s="1295"/>
      <c r="H732" s="535"/>
      <c r="I732" s="517" t="s">
        <v>2121</v>
      </c>
      <c r="J732" s="535"/>
      <c r="K732" s="535"/>
    </row>
    <row r="733" spans="1:11">
      <c r="A733" s="517"/>
      <c r="B733" s="517"/>
      <c r="C733" s="517"/>
      <c r="D733" s="1295"/>
      <c r="E733" s="1295"/>
      <c r="F733" s="1295"/>
      <c r="H733" s="535"/>
      <c r="I733" s="517"/>
      <c r="J733" s="535"/>
      <c r="K733" s="535"/>
    </row>
    <row r="734" spans="1:11">
      <c r="A734" s="517"/>
      <c r="B734" s="517"/>
      <c r="C734" s="517"/>
      <c r="D734" s="1295"/>
      <c r="E734" s="1295"/>
      <c r="F734" s="1295"/>
      <c r="H734" s="535"/>
      <c r="I734" s="517"/>
      <c r="J734" s="535"/>
      <c r="K734" s="535"/>
    </row>
    <row r="735" spans="1:11">
      <c r="A735" s="517"/>
      <c r="B735" s="517"/>
      <c r="C735" s="517"/>
      <c r="D735" s="1295"/>
      <c r="E735" s="1295"/>
      <c r="F735" s="1295"/>
      <c r="H735" s="535"/>
      <c r="I735" s="517"/>
      <c r="J735" s="535"/>
      <c r="K735" s="535"/>
    </row>
    <row r="736" spans="1:11">
      <c r="A736" s="517"/>
      <c r="B736" s="517"/>
      <c r="C736" s="517"/>
      <c r="D736" s="1295"/>
      <c r="E736" s="1295"/>
      <c r="F736" s="1295"/>
      <c r="H736" s="535"/>
      <c r="I736" s="517"/>
      <c r="J736" s="535"/>
      <c r="K736" s="535"/>
    </row>
    <row r="737" spans="1:11">
      <c r="A737" s="517"/>
      <c r="B737" s="517"/>
      <c r="C737" s="517"/>
      <c r="D737" s="1295"/>
      <c r="E737" s="1295"/>
      <c r="F737" s="1295"/>
      <c r="H737" s="535"/>
      <c r="I737" s="517"/>
      <c r="J737" s="535"/>
      <c r="K737" s="535"/>
    </row>
    <row r="738" spans="1:11">
      <c r="A738" s="517"/>
      <c r="B738" s="517"/>
      <c r="C738" s="517"/>
      <c r="D738" s="1295"/>
      <c r="E738" s="1295"/>
      <c r="F738" s="1295"/>
      <c r="H738" s="535"/>
      <c r="I738" s="517"/>
      <c r="J738" s="535"/>
      <c r="K738" s="535"/>
    </row>
    <row r="739" spans="1:11">
      <c r="A739" s="517"/>
      <c r="B739" s="517"/>
      <c r="C739" s="517"/>
      <c r="D739" s="1312" t="s">
        <v>2385</v>
      </c>
      <c r="E739" s="1312"/>
      <c r="F739" s="1312"/>
      <c r="H739" s="535"/>
      <c r="I739" s="517"/>
      <c r="J739" s="535"/>
      <c r="K739" s="535"/>
    </row>
    <row r="740" spans="1:11">
      <c r="A740" s="517"/>
      <c r="B740" s="517"/>
      <c r="C740" s="517"/>
      <c r="D740" s="369"/>
      <c r="H740" s="535"/>
      <c r="I740" s="517"/>
      <c r="J740" s="535"/>
      <c r="K740" s="535"/>
    </row>
    <row r="741" spans="1:11">
      <c r="A741" s="1314" t="s">
        <v>1087</v>
      </c>
      <c r="B741" s="1314"/>
      <c r="C741" s="1314"/>
      <c r="D741" s="1314"/>
      <c r="E741" s="1314"/>
      <c r="F741" s="1314"/>
      <c r="G741" s="1314"/>
      <c r="H741" s="1065"/>
      <c r="I741" s="1260"/>
      <c r="J741" s="535"/>
      <c r="K741" s="535"/>
    </row>
    <row r="742" spans="1:11">
      <c r="A742" s="517"/>
      <c r="B742" s="517"/>
      <c r="C742" s="517"/>
      <c r="D742" s="526"/>
      <c r="G742" s="535"/>
      <c r="H742" s="535"/>
      <c r="I742" s="517"/>
      <c r="J742" s="535"/>
      <c r="K742" s="535"/>
    </row>
    <row r="743" spans="1:11" ht="13.8" customHeight="1">
      <c r="C743" s="517"/>
      <c r="D743" s="1297" t="s">
        <v>1103</v>
      </c>
      <c r="E743" s="1297"/>
      <c r="F743" s="1297"/>
      <c r="G743" s="535"/>
      <c r="H743" s="535"/>
      <c r="I743" s="517"/>
      <c r="J743" s="535"/>
      <c r="K743" s="535"/>
    </row>
    <row r="744" spans="1:11">
      <c r="A744" s="517"/>
      <c r="B744" s="517"/>
      <c r="C744" s="517"/>
      <c r="D744" s="1298" t="s">
        <v>1104</v>
      </c>
      <c r="E744" s="1298"/>
      <c r="F744" s="1298"/>
      <c r="G744" s="535"/>
      <c r="H744" s="535"/>
      <c r="I744" s="517"/>
      <c r="J744" s="535"/>
      <c r="K744" s="535"/>
    </row>
    <row r="745" spans="1:11">
      <c r="A745" s="517"/>
      <c r="B745" s="517"/>
      <c r="C745" s="517"/>
      <c r="G745" s="535"/>
      <c r="H745" s="535"/>
      <c r="I745" s="517"/>
      <c r="J745" s="535"/>
      <c r="K745" s="535"/>
    </row>
    <row r="746" spans="1:11" ht="14.4">
      <c r="A746" s="518"/>
      <c r="B746" s="519" t="s">
        <v>2719</v>
      </c>
      <c r="D746" s="1295" t="s">
        <v>1105</v>
      </c>
      <c r="E746" s="1295"/>
      <c r="F746" s="1295"/>
      <c r="G746" s="535"/>
      <c r="H746" s="535"/>
      <c r="I746" s="517" t="s">
        <v>2106</v>
      </c>
      <c r="J746" s="535"/>
      <c r="K746" s="535"/>
    </row>
    <row r="747" spans="1:11" ht="10.5" customHeight="1">
      <c r="D747" s="1295"/>
      <c r="E747" s="1295"/>
      <c r="F747" s="1295"/>
      <c r="G747" s="535"/>
      <c r="H747" s="535"/>
      <c r="I747" s="517"/>
      <c r="J747" s="535"/>
      <c r="K747" s="535"/>
    </row>
    <row r="748" spans="1:11">
      <c r="D748" s="1295"/>
      <c r="E748" s="1295"/>
      <c r="F748" s="1295"/>
      <c r="G748" s="535"/>
      <c r="H748" s="535"/>
      <c r="I748" s="517"/>
      <c r="J748" s="535"/>
      <c r="K748" s="535"/>
    </row>
    <row r="749" spans="1:11">
      <c r="D749" s="1295"/>
      <c r="E749" s="1295"/>
      <c r="F749" s="1295"/>
      <c r="G749" s="535"/>
      <c r="H749" s="535"/>
      <c r="I749" s="517"/>
      <c r="J749" s="535"/>
      <c r="K749" s="535"/>
    </row>
    <row r="750" spans="1:11">
      <c r="D750" s="1295"/>
      <c r="E750" s="1295"/>
      <c r="F750" s="1295"/>
      <c r="G750" s="535"/>
      <c r="H750" s="535"/>
      <c r="I750" s="517"/>
      <c r="J750" s="535"/>
      <c r="K750" s="535"/>
    </row>
    <row r="751" spans="1:11" ht="15.45" customHeight="1">
      <c r="D751" s="1295"/>
      <c r="E751" s="1295"/>
      <c r="F751" s="1295"/>
      <c r="G751" s="535"/>
      <c r="H751" s="535"/>
      <c r="I751" s="517"/>
      <c r="J751" s="535"/>
      <c r="K751" s="535"/>
    </row>
    <row r="752" spans="1:11">
      <c r="D752" s="533"/>
      <c r="E752" s="480"/>
      <c r="F752" s="480"/>
      <c r="G752" s="535"/>
      <c r="H752" s="535"/>
      <c r="I752" s="517"/>
      <c r="J752" s="535"/>
      <c r="K752" s="535"/>
    </row>
    <row r="753" spans="1:11" s="539" customFormat="1" ht="14.4">
      <c r="A753" s="537"/>
      <c r="B753" s="519" t="s">
        <v>2720</v>
      </c>
      <c r="C753" s="538"/>
      <c r="D753" s="1295" t="s">
        <v>1347</v>
      </c>
      <c r="E753" s="1295"/>
      <c r="F753" s="1295"/>
      <c r="I753" s="1261" t="s">
        <v>2106</v>
      </c>
    </row>
    <row r="754" spans="1:11" s="539" customFormat="1">
      <c r="A754" s="538"/>
      <c r="B754" s="538"/>
      <c r="C754" s="538"/>
      <c r="D754" s="1295"/>
      <c r="E754" s="1295"/>
      <c r="F754" s="1295"/>
      <c r="I754" s="1261"/>
    </row>
    <row r="755" spans="1:11" s="539" customFormat="1">
      <c r="A755" s="538"/>
      <c r="B755" s="538"/>
      <c r="C755" s="538"/>
      <c r="D755" s="1295"/>
      <c r="E755" s="1295"/>
      <c r="F755" s="1295"/>
      <c r="I755" s="1261"/>
    </row>
    <row r="756" spans="1:11" s="539" customFormat="1">
      <c r="A756" s="538"/>
      <c r="B756" s="538"/>
      <c r="C756" s="538"/>
      <c r="D756" s="1295"/>
      <c r="E756" s="1295"/>
      <c r="F756" s="1295"/>
      <c r="I756" s="1261"/>
    </row>
    <row r="757" spans="1:11" s="539" customFormat="1">
      <c r="A757" s="538"/>
      <c r="B757" s="538"/>
      <c r="C757" s="538"/>
      <c r="D757" s="533"/>
      <c r="I757" s="1261"/>
    </row>
    <row r="758" spans="1:11" s="539" customFormat="1" ht="14.4">
      <c r="A758" s="518"/>
      <c r="B758" s="519" t="s">
        <v>2719</v>
      </c>
      <c r="C758" s="538"/>
      <c r="D758" s="1293" t="s">
        <v>1348</v>
      </c>
      <c r="E758" s="1293"/>
      <c r="F758" s="1293"/>
      <c r="I758" s="1261" t="s">
        <v>2107</v>
      </c>
    </row>
    <row r="759" spans="1:11" s="539" customFormat="1">
      <c r="A759" s="538"/>
      <c r="B759" s="538"/>
      <c r="C759" s="538"/>
      <c r="D759" s="1293"/>
      <c r="E759" s="1293"/>
      <c r="F759" s="1293"/>
      <c r="I759" s="1261"/>
    </row>
    <row r="760" spans="1:11" s="539" customFormat="1">
      <c r="A760" s="538"/>
      <c r="B760" s="538"/>
      <c r="C760" s="538"/>
      <c r="D760" s="1293"/>
      <c r="E760" s="1293"/>
      <c r="F760" s="1293"/>
      <c r="I760" s="1261"/>
    </row>
    <row r="761" spans="1:11">
      <c r="D761" s="533"/>
      <c r="E761" s="480"/>
      <c r="F761" s="480"/>
      <c r="G761" s="535"/>
      <c r="H761" s="535"/>
      <c r="I761" s="517"/>
      <c r="J761" s="535"/>
      <c r="K761" s="535"/>
    </row>
    <row r="762" spans="1:11" ht="14.4">
      <c r="A762" s="518"/>
      <c r="B762" s="519" t="s">
        <v>2720</v>
      </c>
      <c r="D762" s="1295" t="s">
        <v>1303</v>
      </c>
      <c r="E762" s="1295"/>
      <c r="F762" s="1295"/>
      <c r="G762" s="535"/>
      <c r="H762" s="535"/>
      <c r="I762" s="517" t="s">
        <v>2106</v>
      </c>
      <c r="J762" s="535"/>
      <c r="K762" s="535"/>
    </row>
    <row r="763" spans="1:11">
      <c r="D763" s="1295"/>
      <c r="E763" s="1295"/>
      <c r="F763" s="1295"/>
      <c r="G763" s="535"/>
      <c r="H763" s="535"/>
      <c r="I763" s="517"/>
      <c r="J763" s="535"/>
      <c r="K763" s="535"/>
    </row>
    <row r="764" spans="1:11">
      <c r="D764" s="479"/>
      <c r="E764" s="479"/>
      <c r="F764" s="479"/>
      <c r="G764" s="535"/>
      <c r="H764" s="535"/>
      <c r="I764" s="517"/>
      <c r="J764" s="535"/>
      <c r="K764" s="535"/>
    </row>
    <row r="765" spans="1:11">
      <c r="B765" s="519" t="s">
        <v>2720</v>
      </c>
      <c r="D765" s="1295" t="s">
        <v>1320</v>
      </c>
      <c r="E765" s="1295"/>
      <c r="F765" s="1295"/>
      <c r="G765" s="535"/>
      <c r="H765" s="535"/>
      <c r="I765" s="517" t="s">
        <v>2106</v>
      </c>
      <c r="J765" s="535"/>
      <c r="K765" s="535"/>
    </row>
    <row r="766" spans="1:11">
      <c r="D766" s="1295"/>
      <c r="E766" s="1295"/>
      <c r="F766" s="1295"/>
      <c r="G766" s="535"/>
      <c r="H766" s="535"/>
      <c r="I766" s="517"/>
      <c r="J766" s="535"/>
      <c r="K766" s="535"/>
    </row>
    <row r="767" spans="1:11">
      <c r="D767" s="1295"/>
      <c r="E767" s="1295"/>
      <c r="F767" s="1295"/>
      <c r="G767" s="535"/>
      <c r="H767" s="535"/>
      <c r="I767" s="517"/>
      <c r="J767" s="535"/>
      <c r="K767" s="535"/>
    </row>
    <row r="768" spans="1:11">
      <c r="D768" s="479"/>
      <c r="E768" s="479"/>
      <c r="F768" s="479"/>
      <c r="G768" s="535"/>
      <c r="H768" s="535"/>
      <c r="I768" s="517"/>
      <c r="J768" s="535"/>
      <c r="K768" s="535"/>
    </row>
    <row r="769" spans="1:9">
      <c r="A769" s="1347" t="s">
        <v>1989</v>
      </c>
      <c r="B769" s="1347"/>
      <c r="C769" s="1347"/>
      <c r="D769" s="1347"/>
      <c r="E769" s="1347"/>
      <c r="F769" s="1347"/>
      <c r="G769" s="1347"/>
      <c r="H769" s="1063"/>
      <c r="I769" s="1256"/>
    </row>
    <row r="770" spans="1:9">
      <c r="A770" s="57"/>
      <c r="B770" s="57"/>
      <c r="C770" s="385"/>
      <c r="D770" s="3"/>
      <c r="E770" s="3"/>
      <c r="F770" s="3"/>
      <c r="G770" s="3"/>
      <c r="I770" s="524"/>
    </row>
    <row r="771" spans="1:9">
      <c r="A771" s="57"/>
      <c r="B771" s="57"/>
      <c r="C771" s="385"/>
      <c r="D771" s="1336" t="s">
        <v>2043</v>
      </c>
      <c r="E771" s="1336"/>
      <c r="F771" s="1336"/>
      <c r="G771" s="3"/>
      <c r="I771" s="524"/>
    </row>
    <row r="772" spans="1:9">
      <c r="A772" s="57"/>
      <c r="B772" s="57"/>
      <c r="C772" s="385"/>
      <c r="D772" s="1281" t="s">
        <v>1942</v>
      </c>
      <c r="E772" s="1281"/>
      <c r="F772" s="1281"/>
      <c r="G772" s="3"/>
      <c r="I772" s="524"/>
    </row>
    <row r="773" spans="1:9">
      <c r="A773" s="57"/>
      <c r="B773" s="57"/>
      <c r="C773" s="385"/>
      <c r="D773" s="481"/>
      <c r="E773" s="481"/>
      <c r="F773" s="481"/>
      <c r="G773" s="3"/>
      <c r="I773" s="524"/>
    </row>
    <row r="774" spans="1:9">
      <c r="A774" s="57"/>
      <c r="B774" s="519" t="s">
        <v>2719</v>
      </c>
      <c r="C774" s="385"/>
      <c r="D774" s="1308" t="s">
        <v>1943</v>
      </c>
      <c r="E774" s="1308"/>
      <c r="F774" s="1308"/>
      <c r="G774" s="3"/>
      <c r="I774" s="517" t="s">
        <v>2156</v>
      </c>
    </row>
    <row r="775" spans="1:9">
      <c r="A775" s="57"/>
      <c r="B775" s="57"/>
      <c r="C775" s="385"/>
      <c r="D775" s="1308"/>
      <c r="E775" s="1308"/>
      <c r="F775" s="1308"/>
      <c r="G775" s="3"/>
      <c r="I775" s="524"/>
    </row>
    <row r="776" spans="1:9">
      <c r="A776" s="175"/>
      <c r="B776" s="175"/>
      <c r="C776" s="175"/>
      <c r="D776" s="1308"/>
      <c r="E776" s="1308"/>
      <c r="F776" s="1308"/>
      <c r="G776" s="118"/>
      <c r="I776" s="524"/>
    </row>
    <row r="777" spans="1:9">
      <c r="A777" s="385"/>
      <c r="B777" s="385"/>
      <c r="C777" s="385"/>
      <c r="D777" s="174"/>
      <c r="E777" s="3"/>
      <c r="F777" s="3"/>
      <c r="G777" s="3"/>
      <c r="I777" s="524"/>
    </row>
    <row r="778" spans="1:9">
      <c r="A778" s="172"/>
      <c r="B778" s="519" t="s">
        <v>2720</v>
      </c>
      <c r="C778" s="172"/>
      <c r="D778" s="1308" t="s">
        <v>1944</v>
      </c>
      <c r="E778" s="1308"/>
      <c r="F778" s="1308"/>
      <c r="G778" s="3"/>
      <c r="I778" s="517" t="s">
        <v>2156</v>
      </c>
    </row>
    <row r="779" spans="1:9">
      <c r="A779" s="172"/>
      <c r="B779" s="172"/>
      <c r="C779" s="172"/>
      <c r="D779" s="1308"/>
      <c r="E779" s="1308"/>
      <c r="F779" s="1308"/>
      <c r="G779" s="3"/>
      <c r="I779" s="524"/>
    </row>
    <row r="780" spans="1:9">
      <c r="A780" s="172"/>
      <c r="B780" s="172"/>
      <c r="C780" s="172"/>
      <c r="D780" s="1308"/>
      <c r="E780" s="1308"/>
      <c r="F780" s="1308"/>
      <c r="G780" s="3"/>
      <c r="I780" s="524"/>
    </row>
    <row r="781" spans="1:9">
      <c r="A781" s="175"/>
      <c r="B781" s="175"/>
      <c r="C781" s="175"/>
      <c r="D781" s="3"/>
      <c r="E781" s="1023"/>
      <c r="F781" s="1023"/>
      <c r="G781" s="1023"/>
      <c r="I781" s="524"/>
    </row>
    <row r="782" spans="1:9" ht="14.4">
      <c r="A782" s="176"/>
      <c r="B782" s="519" t="s">
        <v>2720</v>
      </c>
      <c r="C782" s="1024"/>
      <c r="D782" s="1308" t="s">
        <v>1945</v>
      </c>
      <c r="E782" s="1308"/>
      <c r="F782" s="1308"/>
      <c r="G782" s="1023"/>
      <c r="I782" s="517" t="s">
        <v>2156</v>
      </c>
    </row>
    <row r="783" spans="1:9" ht="14.4">
      <c r="A783" s="176"/>
      <c r="B783" s="176"/>
      <c r="C783" s="1024"/>
      <c r="D783" s="1308"/>
      <c r="E783" s="1308"/>
      <c r="F783" s="1308"/>
      <c r="G783" s="1023"/>
      <c r="I783" s="524"/>
    </row>
    <row r="784" spans="1:9" ht="14.4">
      <c r="A784" s="176"/>
      <c r="B784" s="176"/>
      <c r="C784" s="1024"/>
      <c r="D784" s="1308"/>
      <c r="E784" s="1308"/>
      <c r="F784" s="1308"/>
      <c r="G784" s="1023"/>
      <c r="I784" s="524"/>
    </row>
    <row r="785" spans="1:9" ht="14.4">
      <c r="A785" s="176"/>
      <c r="B785" s="176"/>
      <c r="C785" s="1024"/>
      <c r="D785" s="118"/>
      <c r="E785" s="3"/>
      <c r="F785" s="3"/>
      <c r="G785" s="1023"/>
      <c r="I785" s="524"/>
    </row>
    <row r="786" spans="1:9" ht="14.4">
      <c r="A786" s="176"/>
      <c r="B786" s="519" t="s">
        <v>2720</v>
      </c>
      <c r="C786" s="1024"/>
      <c r="D786" s="1308" t="s">
        <v>1946</v>
      </c>
      <c r="E786" s="1308"/>
      <c r="F786" s="1308"/>
      <c r="G786" s="1023"/>
      <c r="I786" s="517" t="s">
        <v>2156</v>
      </c>
    </row>
    <row r="787" spans="1:9" ht="14.4">
      <c r="A787" s="176"/>
      <c r="B787" s="176"/>
      <c r="C787" s="1024"/>
      <c r="D787" s="1308"/>
      <c r="E787" s="1308"/>
      <c r="F787" s="1308"/>
      <c r="G787" s="1023"/>
      <c r="I787" s="524"/>
    </row>
    <row r="788" spans="1:9" ht="14.4">
      <c r="A788" s="176"/>
      <c r="B788" s="176"/>
      <c r="C788" s="1024"/>
      <c r="D788" s="1308"/>
      <c r="E788" s="1308"/>
      <c r="F788" s="1308"/>
      <c r="G788" s="1023"/>
      <c r="I788" s="524"/>
    </row>
    <row r="789" spans="1:9" ht="14.4">
      <c r="A789" s="176"/>
      <c r="B789" s="176"/>
      <c r="C789" s="1024"/>
      <c r="D789" s="1308"/>
      <c r="E789" s="1308"/>
      <c r="F789" s="1308"/>
      <c r="G789" s="1023"/>
      <c r="I789" s="524"/>
    </row>
    <row r="790" spans="1:9" ht="14.4">
      <c r="A790" s="176"/>
      <c r="B790" s="176"/>
      <c r="C790" s="1024"/>
      <c r="D790" s="1308"/>
      <c r="E790" s="1308"/>
      <c r="F790" s="1308"/>
      <c r="G790" s="1023"/>
      <c r="I790" s="524"/>
    </row>
    <row r="791" spans="1:9" ht="14.4">
      <c r="A791" s="176"/>
      <c r="B791" s="176"/>
      <c r="C791" s="1024"/>
      <c r="D791" s="1308"/>
      <c r="E791" s="1308"/>
      <c r="F791" s="1308"/>
      <c r="G791" s="1023"/>
      <c r="I791" s="524"/>
    </row>
    <row r="792" spans="1:9" ht="14.4">
      <c r="A792" s="176"/>
      <c r="B792" s="176"/>
      <c r="C792" s="1024"/>
      <c r="D792" s="1308" t="s">
        <v>1990</v>
      </c>
      <c r="E792" s="1308"/>
      <c r="F792" s="1308"/>
      <c r="G792" s="1023"/>
      <c r="I792" s="524"/>
    </row>
    <row r="793" spans="1:9" ht="14.4">
      <c r="A793" s="176"/>
      <c r="B793" s="176"/>
      <c r="C793" s="1024"/>
      <c r="D793" s="1308"/>
      <c r="E793" s="1308"/>
      <c r="F793" s="1308"/>
      <c r="G793" s="1023"/>
      <c r="I793" s="524"/>
    </row>
    <row r="794" spans="1:9" ht="14.4">
      <c r="A794" s="176"/>
      <c r="B794" s="176"/>
      <c r="C794" s="1024"/>
      <c r="D794" s="1308"/>
      <c r="E794" s="1308"/>
      <c r="F794" s="1308"/>
      <c r="G794" s="1023"/>
      <c r="I794" s="524"/>
    </row>
    <row r="795" spans="1:9" ht="14.4">
      <c r="A795" s="176"/>
      <c r="B795" s="385"/>
      <c r="C795" s="1024"/>
      <c r="D795" s="1025"/>
      <c r="E795" s="1025"/>
      <c r="F795" s="1025"/>
      <c r="G795" s="1023"/>
      <c r="I795" s="524"/>
    </row>
    <row r="796" spans="1:9" ht="14.4">
      <c r="A796" s="176"/>
      <c r="B796" s="519" t="s">
        <v>2720</v>
      </c>
      <c r="C796" s="1024"/>
      <c r="D796" s="1308" t="s">
        <v>1947</v>
      </c>
      <c r="E796" s="1308"/>
      <c r="F796" s="1308"/>
      <c r="G796" s="1023"/>
      <c r="I796" s="517" t="s">
        <v>2156</v>
      </c>
    </row>
    <row r="797" spans="1:9" ht="14.4">
      <c r="A797" s="176"/>
      <c r="B797" s="176"/>
      <c r="C797" s="1024"/>
      <c r="D797" s="1308"/>
      <c r="E797" s="1308"/>
      <c r="F797" s="1308"/>
      <c r="G797" s="1023"/>
      <c r="I797" s="524"/>
    </row>
    <row r="798" spans="1:9" ht="14.4">
      <c r="A798" s="176"/>
      <c r="B798" s="176"/>
      <c r="C798" s="1024"/>
      <c r="D798" s="1308"/>
      <c r="E798" s="1308"/>
      <c r="F798" s="1308"/>
      <c r="G798" s="1023"/>
      <c r="I798" s="524"/>
    </row>
    <row r="799" spans="1:9" ht="14.4">
      <c r="A799" s="176"/>
      <c r="B799" s="176"/>
      <c r="C799" s="1024"/>
      <c r="D799" s="1308"/>
      <c r="E799" s="1308"/>
      <c r="F799" s="1308"/>
      <c r="G799" s="1023"/>
      <c r="I799" s="524"/>
    </row>
    <row r="800" spans="1:9" ht="14.4">
      <c r="A800" s="176"/>
      <c r="B800" s="176"/>
      <c r="C800" s="1024"/>
      <c r="D800" s="1308"/>
      <c r="E800" s="1308"/>
      <c r="F800" s="1308"/>
      <c r="G800" s="1023"/>
      <c r="I800" s="524"/>
    </row>
    <row r="801" spans="1:9" ht="14.4">
      <c r="A801" s="176"/>
      <c r="B801" s="176"/>
      <c r="C801" s="1024"/>
      <c r="D801" s="1308"/>
      <c r="E801" s="1308"/>
      <c r="F801" s="1308"/>
      <c r="G801" s="1023"/>
      <c r="I801" s="524"/>
    </row>
    <row r="802" spans="1:9" ht="14.4">
      <c r="A802" s="176"/>
      <c r="B802" s="176"/>
      <c r="C802" s="1024"/>
      <c r="D802" s="1017"/>
      <c r="E802" s="1017"/>
      <c r="F802" s="1017"/>
      <c r="G802" s="1023"/>
      <c r="I802" s="524"/>
    </row>
    <row r="803" spans="1:9" ht="14.4">
      <c r="A803" s="176"/>
      <c r="B803" s="519" t="s">
        <v>2720</v>
      </c>
      <c r="C803" s="1024"/>
      <c r="D803" s="1308" t="s">
        <v>1948</v>
      </c>
      <c r="E803" s="1308"/>
      <c r="F803" s="1308"/>
      <c r="G803" s="1023"/>
      <c r="I803" s="517" t="s">
        <v>2156</v>
      </c>
    </row>
    <row r="804" spans="1:9" ht="14.4">
      <c r="A804" s="176"/>
      <c r="B804" s="176"/>
      <c r="C804" s="1024"/>
      <c r="D804" s="1308"/>
      <c r="E804" s="1308"/>
      <c r="F804" s="1308"/>
      <c r="G804" s="1023"/>
      <c r="I804" s="524"/>
    </row>
    <row r="805" spans="1:9" ht="14.4">
      <c r="A805" s="176"/>
      <c r="B805" s="176"/>
      <c r="C805" s="1024"/>
      <c r="D805" s="1308"/>
      <c r="E805" s="1308"/>
      <c r="F805" s="1308"/>
      <c r="G805" s="1023"/>
      <c r="I805" s="524"/>
    </row>
    <row r="806" spans="1:9" ht="14.4">
      <c r="A806" s="176"/>
      <c r="B806" s="176"/>
      <c r="C806" s="1024"/>
      <c r="D806" s="1308"/>
      <c r="E806" s="1308"/>
      <c r="F806" s="1308"/>
      <c r="G806" s="1023"/>
      <c r="I806" s="524"/>
    </row>
    <row r="807" spans="1:9" ht="14.4">
      <c r="A807" s="176"/>
      <c r="B807" s="176"/>
      <c r="C807" s="1024"/>
      <c r="D807" s="1308"/>
      <c r="E807" s="1308"/>
      <c r="F807" s="1308"/>
      <c r="G807" s="1023"/>
      <c r="I807" s="524"/>
    </row>
    <row r="808" spans="1:9" ht="14.4">
      <c r="A808" s="176"/>
      <c r="B808" s="176"/>
      <c r="C808" s="1024"/>
      <c r="D808" s="1308"/>
      <c r="E808" s="1308"/>
      <c r="F808" s="1308"/>
      <c r="G808" s="1023"/>
      <c r="I808" s="524"/>
    </row>
    <row r="809" spans="1:9" ht="14.4">
      <c r="A809" s="176"/>
      <c r="B809" s="176"/>
      <c r="C809" s="1024"/>
      <c r="D809" s="1017"/>
      <c r="E809" s="1017"/>
      <c r="F809" s="1017"/>
      <c r="G809" s="1023"/>
      <c r="I809" s="524"/>
    </row>
    <row r="810" spans="1:9" ht="14.4">
      <c r="A810" s="176"/>
      <c r="B810" s="519" t="s">
        <v>2720</v>
      </c>
      <c r="C810" s="1024"/>
      <c r="D810" s="1305" t="s">
        <v>1949</v>
      </c>
      <c r="E810" s="1305"/>
      <c r="F810" s="1305"/>
      <c r="G810" s="1023"/>
      <c r="I810" s="517" t="s">
        <v>2156</v>
      </c>
    </row>
    <row r="811" spans="1:9" ht="14.4">
      <c r="A811" s="176"/>
      <c r="B811" s="176"/>
      <c r="C811" s="1024"/>
      <c r="D811" s="1305"/>
      <c r="E811" s="1305"/>
      <c r="F811" s="1305"/>
      <c r="G811" s="1023"/>
      <c r="I811" s="524"/>
    </row>
    <row r="812" spans="1:9">
      <c r="A812" s="13"/>
      <c r="B812" s="13"/>
      <c r="C812" s="1024"/>
      <c r="D812" s="1305"/>
      <c r="E812" s="1305"/>
      <c r="F812" s="1305"/>
      <c r="G812" s="1023"/>
      <c r="I812" s="524"/>
    </row>
    <row r="813" spans="1:9" ht="14.4">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313" t="s">
        <v>1950</v>
      </c>
      <c r="B817" s="1313"/>
      <c r="C817" s="1313"/>
      <c r="D817" s="1313"/>
      <c r="E817" s="1313"/>
      <c r="F817" s="1313"/>
      <c r="G817" s="1313"/>
      <c r="H817" s="1063"/>
      <c r="I817" s="1256"/>
    </row>
    <row r="818" spans="1:9" ht="12.75" customHeight="1">
      <c r="A818" s="172"/>
      <c r="B818" s="172"/>
      <c r="C818" s="1024"/>
      <c r="D818" s="1023"/>
      <c r="E818" s="1023"/>
      <c r="F818" s="1023"/>
      <c r="G818" s="1023"/>
      <c r="I818" s="524"/>
    </row>
    <row r="819" spans="1:9" ht="12.75" customHeight="1">
      <c r="A819" s="176"/>
      <c r="B819" s="176"/>
      <c r="C819" s="385"/>
      <c r="D819" s="1301" t="s">
        <v>1991</v>
      </c>
      <c r="E819" s="1301"/>
      <c r="F819" s="1301"/>
      <c r="G819" s="3"/>
      <c r="I819" s="524"/>
    </row>
    <row r="820" spans="1:9" ht="14.25" customHeight="1">
      <c r="A820" s="176"/>
      <c r="B820" s="176"/>
      <c r="C820" s="385"/>
      <c r="D820" s="1268" t="s">
        <v>1951</v>
      </c>
      <c r="E820" s="1268"/>
      <c r="F820" s="1268"/>
      <c r="G820" s="3"/>
      <c r="I820" s="524"/>
    </row>
    <row r="821" spans="1:9" ht="12.75" customHeight="1">
      <c r="A821" s="176"/>
      <c r="B821" s="176"/>
      <c r="C821" s="385"/>
      <c r="D821" s="474"/>
      <c r="E821" s="474"/>
      <c r="F821" s="474"/>
      <c r="G821" s="3"/>
      <c r="I821" s="524"/>
    </row>
    <row r="822" spans="1:9" ht="12.75" customHeight="1">
      <c r="A822" s="385"/>
      <c r="B822" s="519" t="s">
        <v>2719</v>
      </c>
      <c r="C822" s="1024"/>
      <c r="D822" s="1268" t="s">
        <v>1952</v>
      </c>
      <c r="E822" s="1268"/>
      <c r="F822" s="1268"/>
      <c r="G822" s="3"/>
      <c r="I822" s="524" t="s">
        <v>2124</v>
      </c>
    </row>
    <row r="823" spans="1:9" ht="14.25" customHeight="1">
      <c r="A823" s="13"/>
      <c r="B823" s="13"/>
      <c r="C823" s="1024"/>
      <c r="E823" s="1071" t="s">
        <v>2190</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8" t="s">
        <v>2386</v>
      </c>
      <c r="E825" s="1338"/>
      <c r="F825" s="1338"/>
      <c r="G825" s="3"/>
      <c r="I825" s="524"/>
    </row>
    <row r="826" spans="1:9" ht="12.75" hidden="1" customHeight="1">
      <c r="A826" s="13"/>
      <c r="B826" s="13"/>
      <c r="C826" s="1024"/>
      <c r="D826" s="1338"/>
      <c r="E826" s="1338"/>
      <c r="F826" s="1338"/>
      <c r="G826" s="3"/>
      <c r="I826" s="524"/>
    </row>
    <row r="827" spans="1:9" ht="12.75" hidden="1" customHeight="1">
      <c r="A827" s="13"/>
      <c r="B827" s="13"/>
      <c r="C827" s="1024"/>
      <c r="D827" s="1338"/>
      <c r="E827" s="1338"/>
      <c r="F827" s="1338"/>
      <c r="G827" s="3"/>
      <c r="I827" s="524"/>
    </row>
    <row r="828" spans="1:9" ht="12.75" hidden="1" customHeight="1">
      <c r="A828" s="13"/>
      <c r="B828" s="13"/>
      <c r="C828" s="1024"/>
      <c r="D828" s="1338"/>
      <c r="E828" s="1338"/>
      <c r="F828" s="1338"/>
      <c r="G828" s="3"/>
      <c r="I828" s="524"/>
    </row>
    <row r="829" spans="1:9" ht="12.75" hidden="1" customHeight="1">
      <c r="A829" s="13"/>
      <c r="B829" s="13"/>
      <c r="C829" s="1024"/>
      <c r="D829" s="1338"/>
      <c r="E829" s="1338"/>
      <c r="F829" s="1338"/>
      <c r="G829" s="3"/>
      <c r="I829" s="524"/>
    </row>
    <row r="830" spans="1:9" ht="12.75" hidden="1" customHeight="1">
      <c r="A830" s="13"/>
      <c r="B830" s="13"/>
      <c r="C830" s="1024"/>
      <c r="D830" s="1338"/>
      <c r="E830" s="1338"/>
      <c r="F830" s="1338"/>
      <c r="G830" s="3"/>
      <c r="I830" s="524"/>
    </row>
    <row r="831" spans="1:9" ht="12.75" hidden="1" customHeight="1">
      <c r="A831" s="13"/>
      <c r="B831" s="13"/>
      <c r="C831" s="1024"/>
      <c r="D831" s="1338"/>
      <c r="E831" s="1338"/>
      <c r="F831" s="1338"/>
      <c r="G831" s="3"/>
      <c r="I831" s="524"/>
    </row>
    <row r="832" spans="1:9" ht="12.75" hidden="1" customHeight="1">
      <c r="A832" s="13"/>
      <c r="B832" s="13"/>
      <c r="C832" s="1024"/>
      <c r="D832" s="1338"/>
      <c r="E832" s="1338"/>
      <c r="F832" s="1338"/>
      <c r="G832" s="3"/>
      <c r="I832" s="524"/>
    </row>
    <row r="833" spans="1:9" ht="12.75" hidden="1" customHeight="1">
      <c r="A833" s="13"/>
      <c r="B833" s="13"/>
      <c r="C833" s="1024"/>
      <c r="D833" s="1338"/>
      <c r="E833" s="1338"/>
      <c r="F833" s="1338"/>
      <c r="G833" s="3"/>
      <c r="I833" s="524"/>
    </row>
    <row r="834" spans="1:9" ht="12.75" hidden="1" customHeight="1">
      <c r="A834" s="13"/>
      <c r="B834" s="13"/>
      <c r="C834" s="1024"/>
      <c r="D834" s="1338"/>
      <c r="E834" s="1338"/>
      <c r="F834" s="1338"/>
      <c r="G834" s="3"/>
      <c r="I834" s="524"/>
    </row>
    <row r="835" spans="1:9" ht="12.75" hidden="1" customHeight="1">
      <c r="A835" s="13"/>
      <c r="B835" s="13"/>
      <c r="C835" s="1024"/>
      <c r="D835" s="1026"/>
      <c r="E835" s="3"/>
      <c r="F835" s="3"/>
      <c r="G835" s="3"/>
      <c r="I835" s="524"/>
    </row>
    <row r="836" spans="1:9" ht="12.75" customHeight="1">
      <c r="A836" s="176"/>
      <c r="B836" s="519" t="s">
        <v>2719</v>
      </c>
      <c r="C836" s="1024"/>
      <c r="D836" s="1268" t="s">
        <v>1953</v>
      </c>
      <c r="E836" s="1268"/>
      <c r="F836" s="1268"/>
      <c r="G836" s="3"/>
      <c r="I836" s="524" t="s">
        <v>2142</v>
      </c>
    </row>
    <row r="837" spans="1:9" ht="12.75" customHeight="1">
      <c r="A837" s="176"/>
      <c r="B837" s="176"/>
      <c r="C837" s="1024"/>
      <c r="D837" s="1268"/>
      <c r="E837" s="1268"/>
      <c r="F837" s="1268"/>
      <c r="G837" s="3"/>
      <c r="I837" s="524"/>
    </row>
    <row r="838" spans="1:9" ht="12.75" customHeight="1">
      <c r="A838" s="176"/>
      <c r="B838" s="176"/>
      <c r="C838" s="1024"/>
      <c r="D838" s="1268"/>
      <c r="E838" s="1268"/>
      <c r="F838" s="1268"/>
      <c r="G838" s="3"/>
      <c r="I838" s="524"/>
    </row>
    <row r="839" spans="1:9" ht="12.75" customHeight="1">
      <c r="A839" s="176"/>
      <c r="B839" s="176"/>
      <c r="C839" s="1024"/>
      <c r="D839" s="118"/>
      <c r="E839" s="3"/>
      <c r="F839" s="3"/>
      <c r="G839" s="3"/>
      <c r="I839" s="524"/>
    </row>
    <row r="840" spans="1:9" ht="12.75" customHeight="1">
      <c r="A840" s="1027"/>
      <c r="B840" s="519" t="s">
        <v>2720</v>
      </c>
      <c r="C840" s="1024"/>
      <c r="D840" s="1301" t="s">
        <v>1954</v>
      </c>
      <c r="E840" s="1301"/>
      <c r="F840" s="1301"/>
      <c r="G840" s="3"/>
      <c r="I840" s="524"/>
    </row>
    <row r="841" spans="1:9" ht="12.75" customHeight="1">
      <c r="A841" s="385"/>
      <c r="B841" s="1027"/>
      <c r="C841" s="1024"/>
      <c r="D841" s="1301"/>
      <c r="E841" s="1301"/>
      <c r="F841" s="1301"/>
      <c r="G841" s="3"/>
      <c r="I841" s="524"/>
    </row>
    <row r="842" spans="1:9" ht="12.75" customHeight="1">
      <c r="A842" s="176"/>
      <c r="B842" s="385"/>
      <c r="C842" s="1024"/>
      <c r="D842" s="1268" t="s">
        <v>2377</v>
      </c>
      <c r="E842" s="1268"/>
      <c r="F842" s="1268"/>
      <c r="G842" s="3"/>
      <c r="I842" s="524"/>
    </row>
    <row r="843" spans="1:9" ht="12.75" customHeight="1">
      <c r="A843" s="176"/>
      <c r="B843" s="176"/>
      <c r="C843" s="1024"/>
      <c r="D843" s="1268"/>
      <c r="E843" s="1268"/>
      <c r="F843" s="1268"/>
      <c r="G843" s="3"/>
      <c r="I843" s="524"/>
    </row>
    <row r="844" spans="1:9" ht="12.75" customHeight="1">
      <c r="A844" s="176"/>
      <c r="B844" s="176"/>
      <c r="C844" s="1024"/>
      <c r="D844" s="1268"/>
      <c r="E844" s="1268"/>
      <c r="F844" s="1268"/>
      <c r="G844" s="3"/>
      <c r="I844" s="524"/>
    </row>
    <row r="845" spans="1:9" ht="12.75" customHeight="1">
      <c r="A845" s="176"/>
      <c r="B845" s="176"/>
      <c r="C845" s="1024"/>
      <c r="D845" s="1268"/>
      <c r="E845" s="1268"/>
      <c r="F845" s="1268"/>
      <c r="G845" s="3"/>
      <c r="I845" s="524"/>
    </row>
    <row r="846" spans="1:9" ht="12.75" customHeight="1">
      <c r="A846" s="176"/>
      <c r="B846" s="176"/>
      <c r="C846" s="1024"/>
      <c r="D846" s="1268"/>
      <c r="E846" s="1268"/>
      <c r="F846" s="1268"/>
      <c r="G846" s="3"/>
      <c r="I846" s="524"/>
    </row>
    <row r="847" spans="1:9" ht="12.75" customHeight="1">
      <c r="A847" s="176"/>
      <c r="B847" s="176"/>
      <c r="C847" s="1024"/>
      <c r="D847" s="1268"/>
      <c r="E847" s="1268"/>
      <c r="F847" s="1268"/>
      <c r="G847" s="3"/>
      <c r="I847" s="524"/>
    </row>
    <row r="848" spans="1:9" ht="12.75" customHeight="1">
      <c r="A848" s="176"/>
      <c r="B848" s="176"/>
      <c r="C848" s="1024"/>
      <c r="D848" s="118"/>
      <c r="E848" s="3"/>
      <c r="F848" s="3"/>
      <c r="G848" s="3"/>
      <c r="I848" s="524"/>
    </row>
    <row r="849" spans="1:9" ht="12.75" customHeight="1">
      <c r="A849" s="176"/>
      <c r="B849" s="519" t="s">
        <v>2720</v>
      </c>
      <c r="C849" s="1024"/>
      <c r="D849" s="1268" t="s">
        <v>1955</v>
      </c>
      <c r="E849" s="1268"/>
      <c r="F849" s="1268"/>
      <c r="G849" s="3"/>
      <c r="I849" s="524" t="s">
        <v>2125</v>
      </c>
    </row>
    <row r="850" spans="1:9" ht="12.75" customHeight="1">
      <c r="A850" s="176"/>
      <c r="B850" s="176"/>
      <c r="C850" s="1024"/>
      <c r="D850" s="1268" t="s">
        <v>1956</v>
      </c>
      <c r="E850" s="1268"/>
      <c r="F850" s="1268"/>
      <c r="G850" s="3"/>
      <c r="I850" s="524"/>
    </row>
    <row r="851" spans="1:9" ht="12.75" customHeight="1">
      <c r="A851" s="176"/>
      <c r="B851" s="176"/>
      <c r="C851" s="1024"/>
      <c r="E851" s="1071" t="s">
        <v>2192</v>
      </c>
      <c r="F851" s="1073"/>
      <c r="G851" s="3"/>
      <c r="I851" s="524"/>
    </row>
    <row r="852" spans="1:9" ht="12.75" customHeight="1">
      <c r="A852" s="176"/>
      <c r="B852" s="176"/>
      <c r="C852" s="1024"/>
      <c r="D852" s="118"/>
      <c r="E852" s="3"/>
      <c r="F852" s="3"/>
      <c r="G852" s="3"/>
      <c r="I852" s="524"/>
    </row>
    <row r="853" spans="1:9" ht="12.75" customHeight="1">
      <c r="A853" s="176"/>
      <c r="B853" s="519" t="s">
        <v>2720</v>
      </c>
      <c r="C853" s="1024"/>
      <c r="D853" s="1268" t="s">
        <v>1957</v>
      </c>
      <c r="E853" s="1268"/>
      <c r="F853" s="1268"/>
      <c r="G853" s="3"/>
      <c r="I853" s="524" t="s">
        <v>2143</v>
      </c>
    </row>
    <row r="854" spans="1:9" ht="12.75" customHeight="1">
      <c r="A854" s="176"/>
      <c r="B854" s="176"/>
      <c r="C854" s="1024"/>
      <c r="D854" s="1268"/>
      <c r="E854" s="1268"/>
      <c r="F854" s="1268"/>
      <c r="G854" s="3"/>
      <c r="I854" s="524"/>
    </row>
    <row r="855" spans="1:9" ht="12.75" customHeight="1">
      <c r="A855" s="176"/>
      <c r="B855" s="176"/>
      <c r="C855" s="1024"/>
      <c r="D855" s="1268"/>
      <c r="E855" s="1268"/>
      <c r="F855" s="1268"/>
      <c r="G855" s="3"/>
      <c r="I855" s="524"/>
    </row>
    <row r="856" spans="1:9" ht="12.75" customHeight="1">
      <c r="A856" s="176"/>
      <c r="B856" s="176"/>
      <c r="C856" s="1024"/>
      <c r="D856" s="1268"/>
      <c r="E856" s="1268"/>
      <c r="F856" s="1268"/>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1992</v>
      </c>
      <c r="E860" s="1284"/>
      <c r="F860" s="1284"/>
      <c r="G860" s="1023"/>
      <c r="I860" s="524"/>
    </row>
    <row r="861" spans="1:9" ht="12.75" customHeight="1">
      <c r="A861" s="385"/>
      <c r="B861" s="385"/>
      <c r="C861" s="175"/>
      <c r="D861" s="1337" t="s">
        <v>1959</v>
      </c>
      <c r="E861" s="1337"/>
      <c r="F861" s="1337"/>
      <c r="G861" s="1023"/>
      <c r="I861" s="524"/>
    </row>
    <row r="862" spans="1:9" ht="12.75" customHeight="1">
      <c r="A862" s="385"/>
      <c r="B862" s="385"/>
      <c r="C862" s="175"/>
      <c r="D862" s="1030"/>
      <c r="E862" s="1030"/>
      <c r="F862" s="1030"/>
      <c r="G862" s="1023"/>
      <c r="I862" s="524"/>
    </row>
    <row r="863" spans="1:9" ht="12.75" customHeight="1">
      <c r="A863" s="176"/>
      <c r="B863" s="519" t="s">
        <v>2719</v>
      </c>
      <c r="C863" s="385"/>
      <c r="D863" s="1279" t="s">
        <v>1960</v>
      </c>
      <c r="E863" s="1279"/>
      <c r="F863" s="1279"/>
      <c r="G863" s="1023"/>
      <c r="I863" s="524" t="s">
        <v>2125</v>
      </c>
    </row>
    <row r="864" spans="1:9" ht="12.75" customHeight="1">
      <c r="A864" s="385"/>
      <c r="B864" s="385"/>
      <c r="C864" s="385"/>
      <c r="D864" s="2" t="s">
        <v>1935</v>
      </c>
      <c r="E864" s="1071" t="s">
        <v>2192</v>
      </c>
      <c r="F864" s="1074"/>
      <c r="G864" s="1023"/>
      <c r="I864" s="524"/>
    </row>
    <row r="865" spans="1:9" ht="12.75" customHeight="1">
      <c r="A865" s="385"/>
      <c r="B865" s="385"/>
      <c r="C865" s="385"/>
      <c r="D865" s="118"/>
      <c r="E865" s="1023"/>
      <c r="F865" s="1023"/>
      <c r="G865" s="1023"/>
      <c r="I865" s="524"/>
    </row>
    <row r="866" spans="1:9" ht="12.75" customHeight="1">
      <c r="A866" s="176"/>
      <c r="B866" s="519" t="s">
        <v>2719</v>
      </c>
      <c r="C866" s="385"/>
      <c r="D866" s="1268" t="s">
        <v>1961</v>
      </c>
      <c r="E866" s="1286"/>
      <c r="F866" s="1286"/>
      <c r="G866" s="3"/>
      <c r="I866" s="524" t="s">
        <v>2143</v>
      </c>
    </row>
    <row r="867" spans="1:9" ht="12.75" customHeight="1">
      <c r="A867" s="385"/>
      <c r="B867" s="385"/>
      <c r="C867" s="385"/>
      <c r="D867" s="1286"/>
      <c r="E867" s="1286"/>
      <c r="F867" s="1286"/>
      <c r="G867" s="3"/>
      <c r="I867" s="524"/>
    </row>
    <row r="868" spans="1:9" ht="12.75" customHeight="1">
      <c r="A868" s="385"/>
      <c r="B868" s="385"/>
      <c r="C868" s="385"/>
      <c r="D868" s="118"/>
      <c r="E868" s="3"/>
      <c r="F868" s="3"/>
      <c r="G868" s="3"/>
      <c r="I868" s="524"/>
    </row>
    <row r="869" spans="1:9" ht="12.75" customHeight="1">
      <c r="A869" s="385"/>
      <c r="B869" s="519" t="s">
        <v>2720</v>
      </c>
      <c r="C869" s="385"/>
      <c r="D869" s="1333" t="s">
        <v>1962</v>
      </c>
      <c r="E869" s="1333"/>
      <c r="F869" s="1333"/>
      <c r="G869" s="1023"/>
      <c r="I869" s="524"/>
    </row>
    <row r="870" spans="1:9" ht="12.75" customHeight="1">
      <c r="A870" s="385"/>
      <c r="B870" s="1031"/>
      <c r="C870" s="385"/>
      <c r="D870" s="1333"/>
      <c r="E870" s="1333"/>
      <c r="F870" s="1333"/>
      <c r="G870" s="1023"/>
      <c r="I870" s="524"/>
    </row>
    <row r="871" spans="1:9" ht="12.75" customHeight="1">
      <c r="A871" s="176"/>
      <c r="B871"/>
      <c r="C871" s="385"/>
      <c r="D871" s="1268" t="s">
        <v>2377</v>
      </c>
      <c r="E871" s="1268"/>
      <c r="F871" s="1268"/>
      <c r="G871" s="1023"/>
      <c r="I871" s="524"/>
    </row>
    <row r="872" spans="1:9" ht="12.75" customHeight="1">
      <c r="A872" s="176"/>
      <c r="B872" s="176"/>
      <c r="C872" s="385"/>
      <c r="D872" s="1268"/>
      <c r="E872" s="1268"/>
      <c r="F872" s="1268"/>
      <c r="G872" s="1023"/>
      <c r="I872" s="524"/>
    </row>
    <row r="873" spans="1:9" ht="12.75" customHeight="1">
      <c r="A873" s="176"/>
      <c r="B873" s="176"/>
      <c r="C873" s="385"/>
      <c r="D873" s="1268"/>
      <c r="E873" s="1268"/>
      <c r="F873" s="1268"/>
      <c r="G873" s="1023"/>
      <c r="I873" s="524"/>
    </row>
    <row r="874" spans="1:9" ht="12.75" customHeight="1">
      <c r="A874" s="176"/>
      <c r="B874" s="176"/>
      <c r="C874" s="385"/>
      <c r="D874" s="1268"/>
      <c r="E874" s="1268"/>
      <c r="F874" s="1268"/>
      <c r="G874" s="1023"/>
      <c r="I874" s="524"/>
    </row>
    <row r="875" spans="1:9" ht="12.75" customHeight="1">
      <c r="A875" s="176"/>
      <c r="B875" s="176"/>
      <c r="C875" s="385"/>
      <c r="D875" s="1268"/>
      <c r="E875" s="1268"/>
      <c r="F875" s="1268"/>
      <c r="G875" s="1023"/>
      <c r="I875" s="524"/>
    </row>
    <row r="876" spans="1:9" ht="12.75" customHeight="1">
      <c r="A876" s="176"/>
      <c r="B876" s="176"/>
      <c r="C876" s="385"/>
      <c r="D876" s="1268"/>
      <c r="E876" s="1268"/>
      <c r="F876" s="1268"/>
      <c r="G876" s="1023"/>
      <c r="I876" s="524"/>
    </row>
    <row r="877" spans="1:9" ht="12.75" customHeight="1">
      <c r="A877" s="176"/>
      <c r="B877" s="176"/>
      <c r="C877" s="385"/>
      <c r="D877" s="118"/>
      <c r="E877" s="1023"/>
      <c r="F877" s="1023"/>
      <c r="G877" s="1023"/>
      <c r="I877" s="524"/>
    </row>
    <row r="878" spans="1:9" ht="12.75" customHeight="1">
      <c r="A878" s="176"/>
      <c r="B878" s="519" t="s">
        <v>2720</v>
      </c>
      <c r="C878" s="385"/>
      <c r="D878" s="1311" t="s">
        <v>1955</v>
      </c>
      <c r="E878" s="1311"/>
      <c r="F878" s="1311"/>
      <c r="G878" s="1023"/>
      <c r="I878" s="524" t="s">
        <v>2125</v>
      </c>
    </row>
    <row r="879" spans="1:9" ht="12.75" customHeight="1">
      <c r="A879" s="176"/>
      <c r="B879" s="176"/>
      <c r="C879" s="385"/>
      <c r="D879" s="1311" t="s">
        <v>1956</v>
      </c>
      <c r="E879" s="1311"/>
      <c r="F879" s="1311"/>
      <c r="G879" s="1023"/>
      <c r="I879" s="524"/>
    </row>
    <row r="880" spans="1:9" ht="12.75" customHeight="1">
      <c r="A880" s="176"/>
      <c r="B880" s="176"/>
      <c r="C880" s="385"/>
      <c r="D880" s="2" t="s">
        <v>1377</v>
      </c>
      <c r="E880" s="1071" t="s">
        <v>2192</v>
      </c>
      <c r="F880" s="1075"/>
      <c r="G880" s="1023"/>
      <c r="I880" s="524"/>
    </row>
    <row r="881" spans="1:9" ht="12.75" customHeight="1">
      <c r="A881" s="176"/>
      <c r="B881" s="176"/>
      <c r="C881" s="385"/>
      <c r="D881" s="118"/>
      <c r="E881" s="1023"/>
      <c r="F881" s="1023"/>
      <c r="G881" s="1023"/>
      <c r="I881" s="524"/>
    </row>
    <row r="882" spans="1:9" ht="12.75" customHeight="1">
      <c r="A882" s="176"/>
      <c r="B882" s="519" t="s">
        <v>2720</v>
      </c>
      <c r="C882" s="385"/>
      <c r="D882" s="1268" t="s">
        <v>1957</v>
      </c>
      <c r="E882" s="1268"/>
      <c r="F882" s="1268"/>
      <c r="G882" s="1023"/>
      <c r="I882" s="524" t="s">
        <v>2143</v>
      </c>
    </row>
    <row r="883" spans="1:9" ht="12.75" customHeight="1">
      <c r="A883" s="176"/>
      <c r="B883" s="176"/>
      <c r="C883" s="385"/>
      <c r="D883" s="1268"/>
      <c r="E883" s="1268"/>
      <c r="F883" s="1268"/>
      <c r="G883" s="1023"/>
      <c r="I883" s="524"/>
    </row>
    <row r="884" spans="1:9" ht="12.75" customHeight="1">
      <c r="A884" s="176"/>
      <c r="B884" s="176"/>
      <c r="C884" s="385"/>
      <c r="D884" s="1268"/>
      <c r="E884" s="1268"/>
      <c r="F884" s="1268"/>
      <c r="G884" s="1023"/>
      <c r="I884" s="524"/>
    </row>
    <row r="885" spans="1:9" ht="12.75" customHeight="1">
      <c r="A885" s="176"/>
      <c r="B885" s="176"/>
      <c r="C885" s="385"/>
      <c r="D885" s="1268"/>
      <c r="E885" s="1268"/>
      <c r="F885" s="1268"/>
      <c r="G885" s="1023"/>
      <c r="I885" s="524"/>
    </row>
    <row r="886" spans="1:9" ht="12.75" customHeight="1">
      <c r="A886" s="118"/>
      <c r="B886" s="118"/>
      <c r="C886" s="1024"/>
      <c r="D886" s="1023"/>
      <c r="E886" s="1023"/>
      <c r="F886" s="1023"/>
      <c r="G886" s="1023"/>
      <c r="I886" s="524"/>
    </row>
    <row r="887" spans="1:9" ht="12.75" customHeight="1">
      <c r="A887" s="1313" t="s">
        <v>1993</v>
      </c>
      <c r="B887" s="1313"/>
      <c r="C887" s="1313"/>
      <c r="D887" s="1313"/>
      <c r="E887" s="1313"/>
      <c r="F887" s="1313"/>
      <c r="G887" s="1313"/>
      <c r="H887" s="1063"/>
      <c r="I887" s="1256"/>
    </row>
    <row r="888" spans="1:9" ht="12.75" customHeight="1">
      <c r="A888" s="57"/>
      <c r="B888" s="57"/>
      <c r="C888" s="57"/>
      <c r="D888" s="57"/>
      <c r="E888" s="57"/>
      <c r="F888" s="57"/>
      <c r="G888" s="57"/>
      <c r="I888" s="524"/>
    </row>
    <row r="889" spans="1:9" ht="12.75" customHeight="1">
      <c r="A889" s="57"/>
      <c r="B889" s="57"/>
      <c r="C889" s="57"/>
      <c r="D889" s="1307" t="s">
        <v>1999</v>
      </c>
      <c r="E889" s="1307"/>
      <c r="F889" s="1307"/>
      <c r="G889" s="57"/>
      <c r="I889" s="524"/>
    </row>
    <row r="890" spans="1:9" ht="12.75" customHeight="1">
      <c r="A890" s="57"/>
      <c r="B890" s="57"/>
      <c r="C890" s="57"/>
      <c r="D890" s="1016"/>
      <c r="E890" s="1016"/>
      <c r="F890" s="1016"/>
      <c r="G890" s="57"/>
      <c r="I890" s="524"/>
    </row>
    <row r="891" spans="1:9" ht="12.75" customHeight="1">
      <c r="A891" s="57"/>
      <c r="B891" s="519" t="s">
        <v>2719</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307" t="s">
        <v>1994</v>
      </c>
      <c r="E893" s="1307"/>
      <c r="F893" s="1307"/>
      <c r="G893" s="1023"/>
      <c r="I893" s="524"/>
    </row>
    <row r="894" spans="1:9" ht="12.75" customHeight="1">
      <c r="A894" s="172"/>
      <c r="B894" s="172"/>
      <c r="C894" s="172"/>
      <c r="D894" s="1279" t="s">
        <v>1963</v>
      </c>
      <c r="E894" s="1279"/>
      <c r="F894" s="1279"/>
      <c r="G894" s="1023"/>
      <c r="I894" s="524"/>
    </row>
    <row r="895" spans="1:9" ht="12.75" customHeight="1">
      <c r="A895" s="1024"/>
      <c r="B895" s="1024"/>
      <c r="C895" s="1024"/>
      <c r="D895" s="2"/>
      <c r="E895" s="1023"/>
      <c r="F895" s="1023"/>
      <c r="G895" s="1023"/>
      <c r="I895" s="524"/>
    </row>
    <row r="896" spans="1:9" ht="12.75" customHeight="1">
      <c r="A896" s="176"/>
      <c r="B896" s="519" t="s">
        <v>2719</v>
      </c>
      <c r="C896" s="385"/>
      <c r="D896" s="1268" t="s">
        <v>1967</v>
      </c>
      <c r="E896" s="1268"/>
      <c r="F896" s="1268"/>
      <c r="G896" s="3"/>
      <c r="I896" s="524" t="s">
        <v>2109</v>
      </c>
    </row>
    <row r="897" spans="1:9" ht="12.75" customHeight="1">
      <c r="A897" s="385"/>
      <c r="B897" s="385"/>
      <c r="C897" s="385"/>
      <c r="D897" s="1268"/>
      <c r="E897" s="1268"/>
      <c r="F897" s="1268"/>
      <c r="G897" s="3"/>
      <c r="I897" s="524"/>
    </row>
    <row r="898" spans="1:9" ht="12.75" customHeight="1">
      <c r="A898" s="172"/>
      <c r="B898" s="172"/>
      <c r="C898" s="172"/>
      <c r="D898" s="1268" t="s">
        <v>1966</v>
      </c>
      <c r="E898" s="1268"/>
      <c r="F898" s="1268"/>
      <c r="G898" s="1023"/>
      <c r="I898" s="524"/>
    </row>
    <row r="899" spans="1:9" ht="12.75" customHeight="1">
      <c r="A899" s="172"/>
      <c r="B899" s="172"/>
      <c r="C899" s="172"/>
      <c r="D899" s="1268"/>
      <c r="E899" s="1268"/>
      <c r="F899" s="1268"/>
      <c r="G899" s="1023"/>
      <c r="I899" s="524"/>
    </row>
    <row r="900" spans="1:9" ht="12.75" customHeight="1">
      <c r="A900" s="172"/>
      <c r="B900" s="172"/>
      <c r="C900" s="172"/>
      <c r="D900" s="3"/>
      <c r="E900" s="3"/>
      <c r="F900" s="1023"/>
      <c r="G900" s="1023"/>
      <c r="I900" s="524"/>
    </row>
    <row r="901" spans="1:9" ht="12.75" customHeight="1">
      <c r="A901" s="176"/>
      <c r="B901" s="519" t="s">
        <v>2719</v>
      </c>
      <c r="C901" s="175"/>
      <c r="D901" s="1278" t="s">
        <v>1964</v>
      </c>
      <c r="E901" s="1278"/>
      <c r="F901" s="1278"/>
      <c r="G901" s="1023"/>
      <c r="I901" s="524" t="s">
        <v>2108</v>
      </c>
    </row>
    <row r="902" spans="1:9" ht="12.75" customHeight="1">
      <c r="A902" s="176"/>
      <c r="B902" s="176"/>
      <c r="C902" s="175"/>
      <c r="D902" s="1278"/>
      <c r="E902" s="1278"/>
      <c r="F902" s="1278"/>
      <c r="G902" s="1023"/>
      <c r="I902" s="524"/>
    </row>
    <row r="903" spans="1:9" ht="12.75" customHeight="1">
      <c r="A903" s="176"/>
      <c r="B903" s="176"/>
      <c r="C903" s="175"/>
      <c r="D903" s="1278"/>
      <c r="E903" s="1278"/>
      <c r="F903" s="1278"/>
      <c r="G903" s="1023"/>
      <c r="I903" s="524"/>
    </row>
    <row r="904" spans="1:9" ht="12.75" customHeight="1">
      <c r="A904" s="176"/>
      <c r="B904" s="176"/>
      <c r="C904" s="175"/>
      <c r="D904" s="1278"/>
      <c r="E904" s="1278"/>
      <c r="F904" s="1278"/>
      <c r="G904" s="1023"/>
      <c r="I904" s="524"/>
    </row>
    <row r="905" spans="1:9" ht="12.75" customHeight="1">
      <c r="A905" s="176"/>
      <c r="B905" s="176"/>
      <c r="C905" s="175"/>
      <c r="D905" s="1278"/>
      <c r="E905" s="1278"/>
      <c r="F905" s="1278"/>
      <c r="G905" s="1023"/>
      <c r="I905" s="524"/>
    </row>
    <row r="906" spans="1:9" ht="12.75" customHeight="1">
      <c r="A906" s="175"/>
      <c r="B906" s="175"/>
      <c r="C906" s="175"/>
      <c r="D906" s="1278"/>
      <c r="E906" s="1278"/>
      <c r="F906" s="1278"/>
      <c r="G906" s="1023"/>
      <c r="I906" s="524"/>
    </row>
    <row r="907" spans="1:9" ht="12.75" customHeight="1">
      <c r="A907" s="175"/>
      <c r="B907" s="175"/>
      <c r="C907" s="175"/>
      <c r="D907" s="1278"/>
      <c r="E907" s="1278"/>
      <c r="F907" s="1278"/>
      <c r="G907" s="1023"/>
      <c r="I907" s="524"/>
    </row>
    <row r="908" spans="1:9" ht="12.75" customHeight="1">
      <c r="A908" s="175"/>
      <c r="B908" s="175"/>
      <c r="C908" s="175"/>
      <c r="D908" s="1278"/>
      <c r="E908" s="1278"/>
      <c r="F908" s="1278"/>
      <c r="G908" s="1023"/>
      <c r="I908" s="524"/>
    </row>
    <row r="909" spans="1:9" ht="12.75" customHeight="1">
      <c r="A909" s="175"/>
      <c r="B909" s="175"/>
      <c r="C909" s="175"/>
      <c r="D909" s="363"/>
      <c r="E909" s="363"/>
      <c r="F909" s="363"/>
      <c r="G909" s="1023"/>
      <c r="I909" s="524"/>
    </row>
    <row r="910" spans="1:9" ht="12.75" customHeight="1">
      <c r="A910" s="1024"/>
      <c r="B910" s="519" t="s">
        <v>2720</v>
      </c>
      <c r="C910" s="1024"/>
      <c r="D910" s="1268" t="s">
        <v>1968</v>
      </c>
      <c r="E910" s="1268"/>
      <c r="F910" s="1268"/>
      <c r="G910" s="1023"/>
      <c r="I910" s="524"/>
    </row>
    <row r="911" spans="1:9" ht="12.75" customHeight="1">
      <c r="A911" s="1024"/>
      <c r="B911" s="1024"/>
      <c r="C911" s="1024"/>
      <c r="D911" s="1268"/>
      <c r="E911" s="1268"/>
      <c r="F911" s="1268"/>
      <c r="G911" s="1023"/>
      <c r="I911" s="524"/>
    </row>
    <row r="912" spans="1:9" ht="12.75" customHeight="1">
      <c r="A912" s="1024"/>
      <c r="B912" s="1024"/>
      <c r="C912" s="1024"/>
      <c r="D912" s="1023"/>
      <c r="E912" s="1023"/>
      <c r="F912" s="1023"/>
      <c r="G912" s="1023"/>
      <c r="I912" s="524"/>
    </row>
    <row r="913" spans="1:9" ht="12.75" customHeight="1">
      <c r="A913" s="1024"/>
      <c r="B913" s="519" t="s">
        <v>2720</v>
      </c>
      <c r="C913" s="1024"/>
      <c r="D913" s="1305" t="s">
        <v>1969</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2720</v>
      </c>
      <c r="C918" s="1024"/>
      <c r="D918" s="1279" t="s">
        <v>2378</v>
      </c>
      <c r="E918" s="1279"/>
      <c r="F918" s="1279"/>
      <c r="G918" s="1023"/>
      <c r="I918" s="524"/>
    </row>
    <row r="919" spans="1:9" ht="12.75" customHeight="1">
      <c r="A919" s="1024"/>
      <c r="B919" s="1024"/>
      <c r="C919" s="1024"/>
      <c r="D919" s="118"/>
      <c r="E919" s="1023"/>
      <c r="F919" s="1023"/>
      <c r="G919" s="1023"/>
      <c r="I919" s="524"/>
    </row>
    <row r="920" spans="1:9" ht="12.75" customHeight="1">
      <c r="A920" s="1024"/>
      <c r="B920" s="519" t="s">
        <v>2720</v>
      </c>
      <c r="C920" s="1024"/>
      <c r="D920" s="1279" t="s">
        <v>2379</v>
      </c>
      <c r="E920" s="1279"/>
      <c r="F920" s="1279"/>
      <c r="G920" s="1023"/>
      <c r="I920" s="524"/>
    </row>
    <row r="921" spans="1:9" ht="12.75" customHeight="1">
      <c r="A921" s="175"/>
      <c r="B921" s="175"/>
      <c r="C921" s="175"/>
      <c r="D921" s="2"/>
      <c r="E921" s="3"/>
      <c r="F921" s="1023"/>
      <c r="G921" s="1023"/>
      <c r="I921" s="524"/>
    </row>
    <row r="922" spans="1:9" ht="12.75" customHeight="1">
      <c r="A922" s="1032"/>
      <c r="B922" s="519" t="s">
        <v>2719</v>
      </c>
      <c r="C922" s="1033"/>
      <c r="D922" s="1278" t="s">
        <v>1965</v>
      </c>
      <c r="E922" s="1278"/>
      <c r="F922" s="1278"/>
      <c r="G922" s="1034"/>
      <c r="I922" s="524" t="s">
        <v>2158</v>
      </c>
    </row>
    <row r="923" spans="1:9" ht="12.75" customHeight="1">
      <c r="A923" s="1032"/>
      <c r="B923" s="1032"/>
      <c r="C923" s="1033"/>
      <c r="D923" s="1278"/>
      <c r="E923" s="1278"/>
      <c r="F923" s="1278"/>
      <c r="G923" s="1034"/>
      <c r="I923" s="524"/>
    </row>
    <row r="924" spans="1:9" ht="12.75" customHeight="1">
      <c r="A924" s="1032"/>
      <c r="B924" s="1032"/>
      <c r="C924" s="1033"/>
      <c r="D924" s="1278"/>
      <c r="E924" s="1278"/>
      <c r="F924" s="1278"/>
      <c r="G924" s="1034"/>
      <c r="I924" s="524"/>
    </row>
    <row r="925" spans="1:9" ht="12.75" customHeight="1">
      <c r="A925" s="1032"/>
      <c r="B925" s="1032"/>
      <c r="C925" s="1033"/>
      <c r="D925" s="1278"/>
      <c r="E925" s="1278"/>
      <c r="F925" s="1278"/>
      <c r="G925" s="1034"/>
      <c r="I925" s="524"/>
    </row>
    <row r="926" spans="1:9" ht="12.75" customHeight="1">
      <c r="A926" s="1032"/>
      <c r="B926" s="1032"/>
      <c r="C926" s="1033"/>
      <c r="D926" s="1278"/>
      <c r="E926" s="1278"/>
      <c r="F926" s="1278"/>
      <c r="G926" s="1034"/>
      <c r="I926" s="524"/>
    </row>
    <row r="927" spans="1:9" ht="12.75" customHeight="1">
      <c r="A927" s="1032"/>
      <c r="B927" s="1032"/>
      <c r="C927" s="1033"/>
      <c r="D927" s="1278"/>
      <c r="E927" s="1278"/>
      <c r="F927" s="1278"/>
      <c r="G927" s="1034"/>
      <c r="I927" s="524"/>
    </row>
    <row r="928" spans="1:9" ht="12.75" customHeight="1">
      <c r="A928" s="1032"/>
      <c r="B928" s="1032"/>
      <c r="C928" s="1033"/>
      <c r="D928" s="1278"/>
      <c r="E928" s="1278"/>
      <c r="F928" s="1278"/>
      <c r="G928" s="1034"/>
      <c r="I928" s="524"/>
    </row>
    <row r="929" spans="1:9" ht="12.75" customHeight="1">
      <c r="A929" s="1032"/>
      <c r="B929" s="1032"/>
      <c r="C929" s="1033"/>
      <c r="D929" s="1278"/>
      <c r="E929" s="1278"/>
      <c r="F929" s="1278"/>
      <c r="G929" s="1034"/>
      <c r="I929" s="524"/>
    </row>
    <row r="930" spans="1:9" ht="12.75" customHeight="1">
      <c r="A930" s="1032"/>
      <c r="B930" s="1032"/>
      <c r="C930" s="1033"/>
      <c r="D930" s="1278"/>
      <c r="E930" s="1278"/>
      <c r="F930" s="1278"/>
      <c r="G930" s="1034"/>
      <c r="I930" s="524"/>
    </row>
    <row r="931" spans="1:9" ht="12.75" customHeight="1">
      <c r="A931" s="175"/>
      <c r="B931" s="175"/>
      <c r="C931" s="175"/>
      <c r="D931" s="2"/>
      <c r="E931" s="3"/>
      <c r="F931" s="1023"/>
      <c r="G931" s="1023"/>
      <c r="I931" s="524"/>
    </row>
    <row r="932" spans="1:9" ht="12.75" customHeight="1">
      <c r="A932" s="176"/>
      <c r="B932" s="519" t="s">
        <v>2719</v>
      </c>
      <c r="C932" s="175"/>
      <c r="D932" s="1334" t="s">
        <v>2160</v>
      </c>
      <c r="E932" s="1334"/>
      <c r="F932" s="1334"/>
      <c r="G932" s="1023"/>
      <c r="I932" s="524" t="s">
        <v>2158</v>
      </c>
    </row>
    <row r="933" spans="1:9" ht="12.75" customHeight="1">
      <c r="A933" s="176"/>
      <c r="B933" s="176"/>
      <c r="C933" s="175"/>
      <c r="D933" s="1334"/>
      <c r="E933" s="1334"/>
      <c r="F933" s="1334"/>
      <c r="G933" s="1023"/>
      <c r="I933" s="524"/>
    </row>
    <row r="934" spans="1:9" ht="12.75" customHeight="1">
      <c r="A934" s="176"/>
      <c r="B934" s="176"/>
      <c r="C934" s="175"/>
      <c r="D934" s="1334"/>
      <c r="E934" s="1334"/>
      <c r="F934" s="1334"/>
      <c r="G934" s="1023"/>
      <c r="I934" s="524"/>
    </row>
    <row r="935" spans="1:9" ht="12.75" customHeight="1">
      <c r="A935" s="176"/>
      <c r="B935" s="176"/>
      <c r="C935" s="175"/>
      <c r="D935" s="1334"/>
      <c r="E935" s="1334"/>
      <c r="F935" s="1334"/>
      <c r="G935" s="1023"/>
      <c r="I935" s="524"/>
    </row>
    <row r="936" spans="1:9" ht="12.75" customHeight="1">
      <c r="A936" s="176"/>
      <c r="B936" s="176"/>
      <c r="C936" s="175"/>
      <c r="D936" s="1334"/>
      <c r="E936" s="1334"/>
      <c r="F936" s="1334"/>
      <c r="G936" s="1023"/>
      <c r="I936" s="524"/>
    </row>
    <row r="937" spans="1:9" ht="12.75" customHeight="1">
      <c r="A937" s="176"/>
      <c r="B937" s="176"/>
      <c r="C937" s="175"/>
      <c r="D937" s="1334"/>
      <c r="E937" s="1334"/>
      <c r="F937" s="1334"/>
      <c r="G937" s="1023"/>
      <c r="I937" s="524"/>
    </row>
    <row r="938" spans="1:9" ht="12.75" customHeight="1">
      <c r="A938" s="176"/>
      <c r="B938" s="176"/>
      <c r="C938" s="175"/>
      <c r="D938" s="1334"/>
      <c r="E938" s="1334"/>
      <c r="F938" s="1334"/>
      <c r="G938" s="1023"/>
      <c r="I938" s="524"/>
    </row>
    <row r="939" spans="1:9" ht="12.75" customHeight="1">
      <c r="A939" s="176"/>
      <c r="B939" s="176"/>
      <c r="C939" s="175"/>
      <c r="D939" s="1061"/>
      <c r="E939" s="1061"/>
      <c r="F939" s="1061"/>
      <c r="G939" s="1023"/>
      <c r="I939" s="524"/>
    </row>
    <row r="940" spans="1:9" ht="12.75" customHeight="1">
      <c r="A940" s="176"/>
      <c r="B940" s="519" t="s">
        <v>2719</v>
      </c>
      <c r="C940" s="175"/>
      <c r="D940" s="1277" t="s">
        <v>2451</v>
      </c>
      <c r="E940" s="1277"/>
      <c r="F940" s="1277"/>
      <c r="G940" s="1023"/>
      <c r="I940" s="524"/>
    </row>
    <row r="941" spans="1:9" ht="12.75" customHeight="1">
      <c r="A941" s="176"/>
      <c r="B941" s="176"/>
      <c r="C941" s="175"/>
      <c r="D941" s="1277"/>
      <c r="E941" s="1277"/>
      <c r="F941" s="1277"/>
      <c r="G941" s="1023"/>
      <c r="I941" s="524"/>
    </row>
    <row r="942" spans="1:9" ht="12.75" customHeight="1">
      <c r="A942" s="176"/>
      <c r="B942" s="176"/>
      <c r="C942" s="175"/>
      <c r="D942" s="1277"/>
      <c r="E942" s="1277"/>
      <c r="F942" s="1277"/>
      <c r="G942" s="1023"/>
      <c r="I942" s="524"/>
    </row>
    <row r="943" spans="1:9" ht="12.75" customHeight="1">
      <c r="A943" s="176"/>
      <c r="B943" s="176"/>
      <c r="C943" s="175"/>
      <c r="D943" s="1277"/>
      <c r="E943" s="1277"/>
      <c r="F943" s="1277"/>
      <c r="G943" s="1023"/>
      <c r="I943" s="524"/>
    </row>
    <row r="944" spans="1:9" ht="12.75" customHeight="1">
      <c r="A944" s="176"/>
      <c r="B944" s="176"/>
      <c r="C944" s="175"/>
      <c r="D944" s="1277"/>
      <c r="E944" s="1277"/>
      <c r="F944" s="1277"/>
      <c r="G944" s="1023"/>
      <c r="I944" s="524"/>
    </row>
    <row r="945" spans="1:9" ht="12.75" customHeight="1">
      <c r="A945" s="176"/>
      <c r="B945" s="176"/>
      <c r="C945" s="175"/>
      <c r="D945" s="1277"/>
      <c r="E945" s="1277"/>
      <c r="F945" s="1277"/>
      <c r="G945" s="1023"/>
      <c r="I945" s="524"/>
    </row>
    <row r="946" spans="1:9" ht="12.75" customHeight="1">
      <c r="A946" s="176"/>
      <c r="B946" s="176"/>
      <c r="C946" s="175"/>
      <c r="D946" s="1061"/>
      <c r="E946" s="1061"/>
      <c r="F946" s="1061"/>
      <c r="G946" s="1023"/>
      <c r="I946" s="524"/>
    </row>
    <row r="947" spans="1:9" ht="12.75" customHeight="1">
      <c r="A947" s="1024"/>
      <c r="B947" s="519" t="s">
        <v>2720</v>
      </c>
      <c r="C947" s="1024"/>
      <c r="D947" s="1305" t="s">
        <v>1970</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2720</v>
      </c>
      <c r="C952" s="175"/>
      <c r="D952" s="1278" t="s">
        <v>2159</v>
      </c>
      <c r="E952" s="1278"/>
      <c r="F952" s="1278"/>
      <c r="G952" s="1023"/>
      <c r="I952" s="524" t="s">
        <v>2158</v>
      </c>
    </row>
    <row r="953" spans="1:9" ht="12.75" customHeight="1">
      <c r="A953" s="176"/>
      <c r="B953" s="176"/>
      <c r="C953" s="175"/>
      <c r="D953" s="1278"/>
      <c r="E953" s="1278"/>
      <c r="F953" s="1278"/>
      <c r="G953" s="1023"/>
      <c r="I953" s="524"/>
    </row>
    <row r="954" spans="1:9" ht="12.75" customHeight="1">
      <c r="A954" s="176"/>
      <c r="B954" s="176"/>
      <c r="C954" s="175"/>
      <c r="D954" s="1278"/>
      <c r="E954" s="1278"/>
      <c r="F954" s="1278"/>
      <c r="G954" s="1023"/>
      <c r="I954" s="524"/>
    </row>
    <row r="955" spans="1:9" ht="12.75" customHeight="1">
      <c r="A955" s="176"/>
      <c r="B955" s="176"/>
      <c r="C955" s="175"/>
      <c r="D955" s="1278"/>
      <c r="E955" s="1278"/>
      <c r="F955" s="1278"/>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1971</v>
      </c>
      <c r="E957" s="1284"/>
      <c r="F957" s="1284"/>
      <c r="G957" s="3"/>
      <c r="I957" s="524"/>
    </row>
    <row r="958" spans="1:9" ht="12.75" customHeight="1">
      <c r="A958" s="176"/>
      <c r="B958" s="519" t="s">
        <v>2720</v>
      </c>
      <c r="C958" s="385"/>
      <c r="D958" s="1279" t="s">
        <v>1995</v>
      </c>
      <c r="E958" s="1279"/>
      <c r="F958" s="1279"/>
      <c r="G958" s="3"/>
      <c r="I958" s="524" t="s">
        <v>2158</v>
      </c>
    </row>
    <row r="959" spans="1:9" ht="12.75" customHeight="1">
      <c r="A959" s="385"/>
      <c r="B959" s="385"/>
      <c r="C959" s="385"/>
      <c r="D959" s="3"/>
      <c r="E959" s="3"/>
      <c r="F959" s="3"/>
      <c r="G959" s="3"/>
      <c r="I959" s="524"/>
    </row>
    <row r="960" spans="1:9" ht="12.75" customHeight="1">
      <c r="A960" s="385"/>
      <c r="B960" s="385"/>
      <c r="C960" s="385"/>
      <c r="D960" s="1284" t="s">
        <v>1972</v>
      </c>
      <c r="E960" s="1284"/>
      <c r="F960" s="1284"/>
      <c r="G960"/>
      <c r="I960" s="524"/>
    </row>
    <row r="961" spans="1:9" ht="12.75" customHeight="1">
      <c r="A961" s="176"/>
      <c r="B961" s="519" t="s">
        <v>2719</v>
      </c>
      <c r="C961" s="385"/>
      <c r="D961" s="1268" t="s">
        <v>2380</v>
      </c>
      <c r="E961" s="1268"/>
      <c r="F961" s="1268"/>
      <c r="G961"/>
      <c r="I961" s="524" t="s">
        <v>2158</v>
      </c>
    </row>
    <row r="962" spans="1:9" ht="12.75" customHeight="1">
      <c r="A962" s="176"/>
      <c r="B962" s="176"/>
      <c r="C962" s="385"/>
      <c r="D962" s="1268"/>
      <c r="E962" s="1268"/>
      <c r="F962" s="1268"/>
      <c r="G962"/>
      <c r="I962" s="524"/>
    </row>
    <row r="963" spans="1:9" ht="12.75" customHeight="1">
      <c r="A963" s="176"/>
      <c r="B963" s="176"/>
      <c r="C963" s="385"/>
      <c r="D963" s="1268"/>
      <c r="E963" s="1268"/>
      <c r="F963" s="1268"/>
      <c r="G963"/>
      <c r="I963" s="524"/>
    </row>
    <row r="964" spans="1:9" ht="12.75" customHeight="1">
      <c r="A964" s="176"/>
      <c r="B964" s="176"/>
      <c r="C964" s="385"/>
      <c r="D964" s="1268"/>
      <c r="E964" s="1268"/>
      <c r="F964" s="1268"/>
      <c r="G964"/>
      <c r="I964" s="524"/>
    </row>
    <row r="965" spans="1:9" ht="12.75" customHeight="1">
      <c r="A965" s="176"/>
      <c r="B965" s="176"/>
      <c r="C965" s="385"/>
      <c r="D965" s="1268"/>
      <c r="E965" s="1268"/>
      <c r="F965" s="1268"/>
      <c r="G965"/>
      <c r="I965" s="524"/>
    </row>
    <row r="966" spans="1:9" ht="12.75" customHeight="1">
      <c r="A966" s="176"/>
      <c r="B966" s="176"/>
      <c r="C966" s="385"/>
      <c r="D966" s="1268"/>
      <c r="E966" s="1268"/>
      <c r="F966" s="1268"/>
      <c r="G966"/>
      <c r="I966" s="524"/>
    </row>
    <row r="967" spans="1:9" ht="12.75" customHeight="1">
      <c r="A967" s="176"/>
      <c r="B967" s="176"/>
      <c r="C967" s="385"/>
      <c r="D967" s="1268"/>
      <c r="E967" s="1268"/>
      <c r="F967" s="1268"/>
      <c r="G967"/>
      <c r="I967" s="524"/>
    </row>
    <row r="968" spans="1:9" ht="12.75" customHeight="1">
      <c r="A968" s="176"/>
      <c r="B968" s="176"/>
      <c r="C968" s="385"/>
      <c r="D968" s="1268"/>
      <c r="E968" s="1268"/>
      <c r="F968" s="1268"/>
      <c r="G968"/>
      <c r="I968" s="524"/>
    </row>
    <row r="969" spans="1:9" ht="12.75" customHeight="1">
      <c r="A969" s="176"/>
      <c r="B969" s="176"/>
      <c r="C969" s="385"/>
      <c r="D969" s="1268"/>
      <c r="E969" s="1268"/>
      <c r="F969" s="1268"/>
      <c r="G969"/>
      <c r="I969" s="524"/>
    </row>
    <row r="970" spans="1:9" ht="12.75" customHeight="1">
      <c r="A970" s="176"/>
      <c r="B970" s="176"/>
      <c r="C970" s="385"/>
      <c r="D970" s="1268"/>
      <c r="E970" s="1268"/>
      <c r="F970" s="1268"/>
      <c r="G970"/>
      <c r="I970" s="524"/>
    </row>
    <row r="971" spans="1:9" ht="12.75" customHeight="1">
      <c r="A971" s="176"/>
      <c r="B971" s="176"/>
      <c r="C971" s="385"/>
      <c r="D971" s="1268"/>
      <c r="E971" s="1268"/>
      <c r="F971" s="1268"/>
      <c r="G971"/>
      <c r="I971" s="524"/>
    </row>
    <row r="972" spans="1:9" ht="12.75" customHeight="1">
      <c r="A972" s="176"/>
      <c r="B972" s="176"/>
      <c r="C972" s="385"/>
      <c r="D972" s="1268"/>
      <c r="E972" s="1268"/>
      <c r="F972" s="1268"/>
      <c r="G972"/>
      <c r="I972" s="524"/>
    </row>
    <row r="973" spans="1:9" ht="12.75" customHeight="1">
      <c r="A973" s="176"/>
      <c r="B973" s="176"/>
      <c r="C973" s="385"/>
      <c r="D973" s="1268"/>
      <c r="E973" s="1268"/>
      <c r="F973" s="1268"/>
      <c r="G973"/>
      <c r="I973" s="524"/>
    </row>
    <row r="974" spans="1:9" ht="12.75" customHeight="1">
      <c r="A974" s="176"/>
      <c r="B974" s="176"/>
      <c r="C974" s="385"/>
      <c r="D974" s="1268"/>
      <c r="E974" s="1268"/>
      <c r="F974" s="1268"/>
      <c r="G974"/>
      <c r="I974" s="524"/>
    </row>
    <row r="975" spans="1:9" ht="12.75" customHeight="1">
      <c r="A975" s="176"/>
      <c r="B975" s="176"/>
      <c r="C975" s="385"/>
      <c r="D975" s="1268"/>
      <c r="E975" s="1268"/>
      <c r="F975" s="1268"/>
      <c r="G975" s="3"/>
      <c r="I975" s="524"/>
    </row>
    <row r="976" spans="1:9" ht="12.75" customHeight="1">
      <c r="A976" s="385"/>
      <c r="B976" s="385"/>
      <c r="C976" s="385"/>
      <c r="D976" s="3"/>
      <c r="E976" s="3"/>
      <c r="F976" s="3"/>
      <c r="G976" s="3"/>
      <c r="I976" s="524"/>
    </row>
    <row r="977" spans="1:9" ht="12.75" customHeight="1">
      <c r="A977" s="1313" t="s">
        <v>1973</v>
      </c>
      <c r="B977" s="1313"/>
      <c r="C977" s="1313"/>
      <c r="D977" s="1313"/>
      <c r="E977" s="1313"/>
      <c r="F977" s="1313"/>
      <c r="G977" s="1313"/>
      <c r="H977" s="1063"/>
      <c r="I977" s="1256"/>
    </row>
    <row r="978" spans="1:9" ht="12.75" customHeight="1">
      <c r="A978" s="118"/>
      <c r="B978" s="118"/>
      <c r="C978" s="385"/>
      <c r="D978" s="3"/>
      <c r="E978" s="3"/>
      <c r="F978" s="3"/>
      <c r="G978" s="3"/>
      <c r="I978" s="524"/>
    </row>
    <row r="979" spans="1:9" ht="12.75" customHeight="1">
      <c r="A979" s="385"/>
      <c r="B979" s="385"/>
      <c r="C979" s="1024"/>
      <c r="D979" s="1284" t="s">
        <v>1996</v>
      </c>
      <c r="E979" s="1284"/>
      <c r="F979" s="1284"/>
      <c r="G979" s="3"/>
      <c r="I979" s="524"/>
    </row>
    <row r="980" spans="1:9" ht="12.75" customHeight="1">
      <c r="A980" s="172"/>
      <c r="B980" s="172"/>
      <c r="C980" s="172"/>
      <c r="D980" s="1279" t="s">
        <v>1974</v>
      </c>
      <c r="E980" s="1279"/>
      <c r="F980" s="1279"/>
      <c r="G980" s="3"/>
      <c r="I980" s="524"/>
    </row>
    <row r="981" spans="1:9" ht="12.75" customHeight="1">
      <c r="A981" s="172"/>
      <c r="B981" s="172"/>
      <c r="C981" s="172"/>
      <c r="D981" s="3"/>
      <c r="E981" s="3"/>
      <c r="F981" s="1023"/>
      <c r="G981"/>
      <c r="I981" s="524"/>
    </row>
    <row r="982" spans="1:9" ht="12.75" customHeight="1">
      <c r="A982" s="385"/>
      <c r="B982" s="519" t="s">
        <v>2719</v>
      </c>
      <c r="C982" s="385"/>
      <c r="D982" s="1332" t="s">
        <v>2210</v>
      </c>
      <c r="E982" s="1332"/>
      <c r="F982" s="1332"/>
      <c r="G982"/>
      <c r="I982" s="524" t="s">
        <v>2138</v>
      </c>
    </row>
    <row r="983" spans="1:9" ht="12.75" customHeight="1">
      <c r="A983" s="385"/>
      <c r="B983" s="385"/>
      <c r="C983" s="385"/>
      <c r="D983" s="1332"/>
      <c r="E983" s="1332"/>
      <c r="F983" s="1332"/>
      <c r="G983"/>
      <c r="I983" s="524"/>
    </row>
    <row r="984" spans="1:9" ht="12.75" customHeight="1">
      <c r="A984" s="385"/>
      <c r="B984" s="385"/>
      <c r="C984" s="385"/>
      <c r="D984" s="1073"/>
      <c r="E984" s="1071" t="s">
        <v>2211</v>
      </c>
      <c r="F984" s="1073"/>
      <c r="G984"/>
      <c r="I984" s="524"/>
    </row>
    <row r="985" spans="1:9" ht="12.75" customHeight="1">
      <c r="A985" s="385"/>
      <c r="B985" s="385"/>
      <c r="C985" s="385"/>
      <c r="D985" s="1272" t="s">
        <v>2209</v>
      </c>
      <c r="E985" s="1272"/>
      <c r="F985" s="1272"/>
      <c r="G985"/>
      <c r="I985" s="524"/>
    </row>
    <row r="986" spans="1:9" ht="12.75" customHeight="1">
      <c r="A986" s="385"/>
      <c r="B986" s="385"/>
      <c r="C986" s="385"/>
      <c r="D986" s="1272"/>
      <c r="E986" s="1272"/>
      <c r="F986" s="1272"/>
      <c r="G986"/>
      <c r="I986" s="524"/>
    </row>
    <row r="987" spans="1:9" ht="12.75" customHeight="1">
      <c r="A987" s="175"/>
      <c r="B987" s="175"/>
      <c r="C987" s="175"/>
      <c r="D987" s="1272"/>
      <c r="E987" s="1272"/>
      <c r="F987" s="1272"/>
      <c r="G987"/>
      <c r="I987" s="524"/>
    </row>
    <row r="988" spans="1:9" ht="12.75" customHeight="1">
      <c r="A988" s="175"/>
      <c r="B988" s="175"/>
      <c r="C988" s="175"/>
      <c r="D988" s="1272"/>
      <c r="E988" s="1272"/>
      <c r="F988" s="1272"/>
      <c r="G988"/>
      <c r="I988" s="524"/>
    </row>
    <row r="989" spans="1:9" ht="12.75" customHeight="1">
      <c r="A989" s="175"/>
      <c r="B989" s="175"/>
      <c r="C989" s="175"/>
      <c r="D989" s="363"/>
      <c r="E989" s="363"/>
      <c r="F989" s="363"/>
      <c r="G989"/>
      <c r="I989" s="524"/>
    </row>
    <row r="990" spans="1:9" ht="12.75" customHeight="1">
      <c r="A990" s="175"/>
      <c r="B990" s="519" t="s">
        <v>2720</v>
      </c>
      <c r="C990" s="175"/>
      <c r="D990" s="1268" t="s">
        <v>1975</v>
      </c>
      <c r="E990" s="1268"/>
      <c r="F990" s="1268"/>
      <c r="G990"/>
      <c r="I990" s="524"/>
    </row>
    <row r="991" spans="1:9" ht="12.75" customHeight="1">
      <c r="A991" s="175"/>
      <c r="B991" s="175"/>
      <c r="C991" s="175"/>
      <c r="D991" s="1268"/>
      <c r="E991" s="1268"/>
      <c r="F991" s="1268"/>
      <c r="G991"/>
      <c r="I991" s="524"/>
    </row>
    <row r="992" spans="1:9" ht="12.75" customHeight="1">
      <c r="A992" s="175"/>
      <c r="B992" s="175"/>
      <c r="C992" s="175"/>
      <c r="D992" s="1268"/>
      <c r="E992" s="1268"/>
      <c r="F992" s="1268"/>
      <c r="G992"/>
      <c r="I992" s="524"/>
    </row>
    <row r="993" spans="1:9" ht="12.75" customHeight="1">
      <c r="A993" s="175"/>
      <c r="B993" s="175"/>
      <c r="C993" s="175"/>
      <c r="D993" s="1268"/>
      <c r="E993" s="1268"/>
      <c r="F993" s="1268"/>
      <c r="G993"/>
      <c r="I993" s="524"/>
    </row>
    <row r="994" spans="1:9" ht="12.75" customHeight="1">
      <c r="A994" s="175"/>
      <c r="B994" s="175"/>
      <c r="C994" s="175"/>
      <c r="D994" s="474"/>
      <c r="E994" s="474"/>
      <c r="F994" s="474"/>
      <c r="G994"/>
      <c r="I994" s="524"/>
    </row>
    <row r="995" spans="1:9" ht="12.75" customHeight="1">
      <c r="A995" s="175"/>
      <c r="B995" s="519" t="s">
        <v>2720</v>
      </c>
      <c r="C995" s="175"/>
      <c r="D995" s="1268" t="s">
        <v>1976</v>
      </c>
      <c r="E995" s="1268"/>
      <c r="F995" s="1268"/>
      <c r="G995"/>
      <c r="I995" s="524"/>
    </row>
    <row r="996" spans="1:9" ht="12.75" customHeight="1">
      <c r="A996" s="175"/>
      <c r="B996" s="175"/>
      <c r="C996" s="175"/>
      <c r="D996" s="1268"/>
      <c r="E996" s="1268"/>
      <c r="F996" s="1268"/>
      <c r="G996"/>
      <c r="I996" s="524"/>
    </row>
    <row r="997" spans="1:9" ht="12.75" customHeight="1">
      <c r="A997" s="175"/>
      <c r="B997" s="175"/>
      <c r="C997" s="175"/>
      <c r="D997" s="474"/>
      <c r="E997" s="474"/>
      <c r="F997" s="474"/>
      <c r="G997"/>
      <c r="I997" s="524"/>
    </row>
    <row r="998" spans="1:9" ht="12.75" customHeight="1">
      <c r="A998" s="176"/>
      <c r="B998" s="519" t="s">
        <v>2719</v>
      </c>
      <c r="C998" s="385"/>
      <c r="D998" s="1279" t="s">
        <v>1977</v>
      </c>
      <c r="E998" s="1279"/>
      <c r="F998" s="1279"/>
      <c r="G998"/>
      <c r="I998" s="524"/>
    </row>
    <row r="999" spans="1:9" ht="12.75" customHeight="1">
      <c r="A999" s="385"/>
      <c r="B999" s="385"/>
      <c r="C999" s="385"/>
      <c r="D999" s="3"/>
      <c r="E999" s="3"/>
      <c r="F999" s="3"/>
      <c r="G999"/>
      <c r="I999" s="524"/>
    </row>
    <row r="1000" spans="1:9" ht="12.75" customHeight="1">
      <c r="A1000" s="176"/>
      <c r="B1000" s="519" t="s">
        <v>2720</v>
      </c>
      <c r="C1000" s="385"/>
      <c r="D1000" s="1279" t="s">
        <v>1978</v>
      </c>
      <c r="E1000" s="1279"/>
      <c r="F1000" s="1279"/>
      <c r="G1000"/>
      <c r="I1000" s="524"/>
    </row>
    <row r="1001" spans="1:9" ht="12.75" customHeight="1">
      <c r="A1001" s="385"/>
      <c r="B1001" s="385"/>
      <c r="C1001" s="385"/>
      <c r="D1001" s="118"/>
      <c r="E1001" s="3"/>
      <c r="F1001" s="3"/>
      <c r="G1001"/>
      <c r="I1001" s="524"/>
    </row>
    <row r="1002" spans="1:9" ht="12.75" customHeight="1">
      <c r="A1002" s="176"/>
      <c r="B1002" s="519" t="s">
        <v>2719</v>
      </c>
      <c r="C1002" s="385"/>
      <c r="D1002" s="1279" t="s">
        <v>1979</v>
      </c>
      <c r="E1002" s="1279"/>
      <c r="F1002" s="1279"/>
      <c r="G1002"/>
      <c r="I1002" s="524"/>
    </row>
    <row r="1003" spans="1:9" ht="12.75" customHeight="1">
      <c r="A1003" s="385"/>
      <c r="B1003" s="385"/>
      <c r="C1003" s="385"/>
      <c r="D1003" s="118"/>
      <c r="E1003" s="3"/>
      <c r="F1003" s="3"/>
      <c r="G1003"/>
      <c r="I1003" s="524"/>
    </row>
    <row r="1004" spans="1:9" ht="12.75" customHeight="1">
      <c r="A1004" s="176"/>
      <c r="B1004" s="519" t="s">
        <v>2720</v>
      </c>
      <c r="C1004" s="385"/>
      <c r="D1004" s="1268" t="s">
        <v>1980</v>
      </c>
      <c r="E1004" s="1268"/>
      <c r="F1004" s="1268"/>
      <c r="G1004"/>
      <c r="I1004" s="524"/>
    </row>
    <row r="1005" spans="1:9" ht="12.75" customHeight="1">
      <c r="A1005" s="176"/>
      <c r="B1005" s="176"/>
      <c r="C1005" s="385"/>
      <c r="D1005" s="1268"/>
      <c r="E1005" s="1268"/>
      <c r="F1005" s="1268"/>
      <c r="G1005"/>
      <c r="I1005" s="524"/>
    </row>
    <row r="1006" spans="1:9" ht="12.75" customHeight="1">
      <c r="A1006" s="176"/>
      <c r="B1006" s="176"/>
      <c r="C1006" s="385"/>
      <c r="D1006" s="118"/>
      <c r="E1006" s="3"/>
      <c r="F1006" s="3"/>
      <c r="G1006" s="3"/>
      <c r="I1006" s="524"/>
    </row>
    <row r="1007" spans="1:9" ht="12.75" customHeight="1">
      <c r="A1007" s="272"/>
      <c r="B1007" s="519" t="s">
        <v>2720</v>
      </c>
      <c r="C1007" s="1035"/>
      <c r="D1007" s="1308" t="s">
        <v>1981</v>
      </c>
      <c r="E1007" s="1308"/>
      <c r="F1007" s="1308"/>
      <c r="G1007" s="1036"/>
      <c r="I1007" s="524"/>
    </row>
    <row r="1008" spans="1:9" ht="12.75" customHeight="1">
      <c r="A1008" s="1035"/>
      <c r="B1008" s="1035"/>
      <c r="C1008" s="1035"/>
      <c r="D1008" s="1308"/>
      <c r="E1008" s="1308"/>
      <c r="F1008" s="1308"/>
      <c r="G1008" s="1036"/>
      <c r="I1008" s="524"/>
    </row>
    <row r="1009" spans="1:9" ht="12.75" customHeight="1">
      <c r="A1009" s="1035"/>
      <c r="B1009" s="1035"/>
      <c r="C1009" s="1035"/>
      <c r="D1009" s="1019"/>
      <c r="E1009" s="1036"/>
      <c r="F1009" s="1036"/>
      <c r="G1009" s="1036"/>
      <c r="I1009" s="524"/>
    </row>
    <row r="1010" spans="1:9" ht="12.75" customHeight="1">
      <c r="A1010" s="272"/>
      <c r="B1010" s="519" t="s">
        <v>2719</v>
      </c>
      <c r="C1010" s="1035"/>
      <c r="D1010" s="1326" t="s">
        <v>1982</v>
      </c>
      <c r="E1010" s="1326"/>
      <c r="F1010" s="1326"/>
      <c r="G1010" s="1036"/>
      <c r="I1010" s="524"/>
    </row>
    <row r="1011" spans="1:9" ht="12.75" customHeight="1">
      <c r="A1011" s="1035"/>
      <c r="B1011" s="1035"/>
      <c r="C1011" s="1035"/>
      <c r="D1011" s="1019"/>
      <c r="E1011" s="1036"/>
      <c r="F1011" s="1036"/>
      <c r="G1011" s="1036"/>
      <c r="I1011" s="524"/>
    </row>
    <row r="1012" spans="1:9" ht="12.75" customHeight="1">
      <c r="A1012" s="176"/>
      <c r="B1012" s="519" t="s">
        <v>2720</v>
      </c>
      <c r="C1012" s="385"/>
      <c r="D1012" s="1279" t="s">
        <v>1983</v>
      </c>
      <c r="E1012" s="1279"/>
      <c r="F1012" s="1279"/>
      <c r="G1012" s="3"/>
      <c r="I1012" s="524"/>
    </row>
    <row r="1013" spans="1:9" ht="12.75" customHeight="1">
      <c r="A1013" s="176"/>
      <c r="B1013" s="176"/>
      <c r="C1013" s="385"/>
      <c r="D1013" s="118"/>
      <c r="E1013" s="3"/>
      <c r="F1013" s="3"/>
      <c r="G1013" s="3"/>
      <c r="I1013" s="524"/>
    </row>
    <row r="1014" spans="1:9" ht="12.75" customHeight="1">
      <c r="A1014" s="176"/>
      <c r="B1014" s="519" t="s">
        <v>2720</v>
      </c>
      <c r="C1014" s="385"/>
      <c r="D1014" s="1268" t="s">
        <v>1984</v>
      </c>
      <c r="E1014" s="1268"/>
      <c r="F1014" s="1268"/>
      <c r="G1014" s="3"/>
      <c r="I1014" s="524"/>
    </row>
    <row r="1015" spans="1:9" ht="12.75" customHeight="1">
      <c r="A1015" s="176"/>
      <c r="B1015" s="176"/>
      <c r="C1015" s="385"/>
      <c r="D1015" s="1268"/>
      <c r="E1015" s="1268"/>
      <c r="F1015" s="1268"/>
      <c r="G1015" s="3"/>
      <c r="I1015" s="524"/>
    </row>
    <row r="1016" spans="1:9" ht="12.75" customHeight="1">
      <c r="A1016" s="385"/>
      <c r="B1016" s="385"/>
      <c r="C1016" s="385"/>
      <c r="D1016" s="3"/>
      <c r="E1016" s="3"/>
      <c r="F1016" s="3"/>
      <c r="G1016" s="3"/>
      <c r="I1016" s="524"/>
    </row>
    <row r="1017" spans="1:9" ht="12.75" customHeight="1">
      <c r="A1017" s="1313" t="s">
        <v>1985</v>
      </c>
      <c r="B1017" s="1313"/>
      <c r="C1017" s="1313"/>
      <c r="D1017" s="1313"/>
      <c r="E1017" s="1313"/>
      <c r="F1017" s="1313"/>
      <c r="G1017" s="1313"/>
      <c r="H1017" s="1063"/>
      <c r="I1017" s="1256"/>
    </row>
    <row r="1018" spans="1:9" ht="12.75" customHeight="1">
      <c r="A1018" s="385"/>
      <c r="B1018" s="385"/>
      <c r="C1018" s="385"/>
      <c r="D1018" s="3"/>
      <c r="E1018" s="3"/>
      <c r="F1018" s="3"/>
      <c r="G1018" s="3"/>
      <c r="I1018" s="524"/>
    </row>
    <row r="1019" spans="1:9" ht="12.75" customHeight="1">
      <c r="A1019" s="385"/>
      <c r="B1019" s="385"/>
      <c r="C1019" s="385"/>
      <c r="D1019" s="1307" t="s">
        <v>1986</v>
      </c>
      <c r="E1019" s="1307"/>
      <c r="F1019" s="1307"/>
      <c r="G1019" s="3"/>
      <c r="I1019" s="524"/>
    </row>
    <row r="1020" spans="1:9" ht="12.75" customHeight="1">
      <c r="A1020" s="385"/>
      <c r="B1020" s="385"/>
      <c r="C1020" s="385"/>
      <c r="D1020" s="1326" t="s">
        <v>1987</v>
      </c>
      <c r="E1020" s="1326"/>
      <c r="F1020" s="1326"/>
      <c r="G1020" s="3"/>
      <c r="I1020" s="524"/>
    </row>
    <row r="1021" spans="1:9" ht="12.75" customHeight="1">
      <c r="A1021" s="172"/>
      <c r="B1021" s="172"/>
      <c r="C1021" s="172"/>
      <c r="D1021" s="3"/>
      <c r="E1021" s="3"/>
      <c r="F1021" s="3"/>
      <c r="G1021" s="3"/>
      <c r="I1021" s="524"/>
    </row>
    <row r="1022" spans="1:9" ht="12.75" customHeight="1">
      <c r="A1022" s="176"/>
      <c r="B1022" s="176"/>
      <c r="C1022" s="175"/>
      <c r="D1022" s="1307" t="s">
        <v>2001</v>
      </c>
      <c r="E1022" s="1307"/>
      <c r="F1022" s="1307"/>
      <c r="G1022" s="3"/>
      <c r="I1022" s="524" t="s">
        <v>2110</v>
      </c>
    </row>
    <row r="1023" spans="1:9" ht="12.75" customHeight="1">
      <c r="A1023" s="385"/>
      <c r="B1023" s="519" t="s">
        <v>2719</v>
      </c>
      <c r="C1023" s="385"/>
      <c r="D1023" s="1326" t="s">
        <v>1378</v>
      </c>
      <c r="E1023" s="1326"/>
      <c r="F1023" s="1326"/>
      <c r="G1023" s="3"/>
      <c r="I1023" s="524"/>
    </row>
    <row r="1024" spans="1:9" ht="12.75" customHeight="1">
      <c r="A1024" s="385"/>
      <c r="B1024" s="176"/>
      <c r="C1024" s="385"/>
      <c r="D1024" s="1326" t="s">
        <v>1988</v>
      </c>
      <c r="E1024" s="1326"/>
      <c r="F1024" s="1326"/>
      <c r="G1024" s="3"/>
      <c r="I1024" s="524"/>
    </row>
    <row r="1025" spans="1:9" ht="12.75" customHeight="1">
      <c r="A1025" s="385"/>
      <c r="B1025" s="385"/>
      <c r="C1025" s="385"/>
      <c r="D1025" s="1326"/>
      <c r="E1025" s="1326"/>
      <c r="F1025" s="1326"/>
      <c r="G1025" s="3"/>
      <c r="I1025" s="524"/>
    </row>
    <row r="1026" spans="1:9" ht="12.75" customHeight="1">
      <c r="A1026" s="1313" t="s">
        <v>1997</v>
      </c>
      <c r="B1026" s="1313"/>
      <c r="C1026" s="1313"/>
      <c r="D1026" s="1313"/>
      <c r="E1026" s="1313"/>
      <c r="F1026" s="1313"/>
      <c r="G1026" s="1313"/>
      <c r="H1026" s="1063"/>
      <c r="I1026" s="1256"/>
    </row>
    <row r="1027" spans="1:9" ht="12.75" customHeight="1">
      <c r="A1027" s="118"/>
      <c r="B1027" s="118"/>
      <c r="C1027" s="385"/>
      <c r="D1027" s="3"/>
      <c r="E1027" s="3"/>
      <c r="F1027" s="3"/>
      <c r="G1027" s="3"/>
      <c r="I1027" s="524"/>
    </row>
    <row r="1028" spans="1:9" ht="12.75" hidden="1" customHeight="1">
      <c r="A1028" s="118"/>
      <c r="B1028" s="433"/>
      <c r="D1028" s="1315" t="s">
        <v>1379</v>
      </c>
      <c r="E1028" s="1315"/>
      <c r="F1028" s="1315"/>
      <c r="G1028" s="3"/>
      <c r="I1028" s="524"/>
    </row>
    <row r="1029" spans="1:9" ht="12.75" hidden="1" customHeight="1">
      <c r="A1029" s="118"/>
      <c r="B1029" s="519" t="s">
        <v>308</v>
      </c>
      <c r="D1029" s="1317" t="s">
        <v>1378</v>
      </c>
      <c r="E1029" s="1317"/>
      <c r="F1029" s="1317"/>
      <c r="G1029" s="3"/>
      <c r="I1029" s="524"/>
    </row>
    <row r="1030" spans="1:9" ht="12.75" hidden="1" customHeight="1">
      <c r="A1030" s="118"/>
      <c r="B1030" s="433"/>
      <c r="D1030" s="1317" t="s">
        <v>1998</v>
      </c>
      <c r="E1030" s="1317"/>
      <c r="F1030" s="1317"/>
      <c r="G1030" s="3"/>
      <c r="I1030" s="524"/>
    </row>
    <row r="1031" spans="1:9" ht="12.75" hidden="1" customHeight="1">
      <c r="A1031" s="118"/>
      <c r="B1031" s="433"/>
      <c r="D1031" s="478"/>
      <c r="E1031" s="478"/>
      <c r="F1031" s="478"/>
      <c r="G1031" s="3"/>
      <c r="I1031" s="524"/>
    </row>
    <row r="1032" spans="1:9" ht="12.75" customHeight="1">
      <c r="A1032" s="118"/>
      <c r="B1032" s="118"/>
      <c r="C1032" s="385"/>
      <c r="D1032" s="1327" t="s">
        <v>1094</v>
      </c>
      <c r="E1032" s="1327"/>
      <c r="F1032" s="1327"/>
      <c r="G1032" s="3"/>
      <c r="I1032" s="524" t="s">
        <v>2139</v>
      </c>
    </row>
    <row r="1033" spans="1:9" ht="12.75" customHeight="1">
      <c r="A1033" s="345"/>
      <c r="B1033" s="345"/>
      <c r="C1033" s="345"/>
      <c r="D1033" s="1311" t="s">
        <v>1111</v>
      </c>
      <c r="E1033" s="1311"/>
      <c r="F1033" s="1311"/>
      <c r="G1033" s="98"/>
      <c r="I1033" s="524"/>
    </row>
    <row r="1034" spans="1:9" ht="12.75" customHeight="1">
      <c r="A1034" s="176"/>
      <c r="B1034" s="519" t="s">
        <v>2719</v>
      </c>
      <c r="C1034" s="385"/>
      <c r="D1034" s="1311" t="s">
        <v>1004</v>
      </c>
      <c r="E1034" s="1311"/>
      <c r="F1034" s="1311"/>
      <c r="G1034" s="3"/>
      <c r="I1034" s="524"/>
    </row>
    <row r="1035" spans="1:9" ht="12.75" customHeight="1">
      <c r="A1035" s="385"/>
      <c r="B1035" s="385"/>
      <c r="C1035" s="385"/>
      <c r="D1035" s="1071" t="s">
        <v>2212</v>
      </c>
      <c r="E1035" s="96"/>
      <c r="F1035" s="96"/>
      <c r="G1035" s="3"/>
      <c r="I1035" s="524"/>
    </row>
    <row r="1036" spans="1:9">
      <c r="A1036" s="433"/>
      <c r="B1036" s="433"/>
      <c r="C1036" s="433"/>
      <c r="I1036" s="524"/>
    </row>
    <row r="1037" spans="1:9">
      <c r="A1037" s="1313" t="s">
        <v>2018</v>
      </c>
      <c r="B1037" s="1313"/>
      <c r="C1037" s="1313"/>
      <c r="D1037" s="1313"/>
      <c r="E1037" s="1313"/>
      <c r="F1037" s="1313"/>
      <c r="G1037" s="1313"/>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2720</v>
      </c>
      <c r="C1042" s="433"/>
      <c r="D1042" s="1329" t="s">
        <v>2002</v>
      </c>
      <c r="E1042" s="1329"/>
      <c r="F1042" s="1329"/>
      <c r="I1042" s="524" t="s">
        <v>2111</v>
      </c>
    </row>
    <row r="1043" spans="1:9">
      <c r="A1043" s="433"/>
      <c r="B1043" s="433"/>
      <c r="C1043" s="433"/>
      <c r="D1043" s="1329"/>
      <c r="E1043" s="1329"/>
      <c r="F1043" s="1329"/>
      <c r="I1043" s="524"/>
    </row>
    <row r="1044" spans="1:9">
      <c r="A1044" s="433"/>
      <c r="B1044" s="433"/>
      <c r="C1044" s="433"/>
      <c r="D1044" s="1329"/>
      <c r="E1044" s="1329"/>
      <c r="F1044" s="1329"/>
      <c r="I1044" s="524"/>
    </row>
    <row r="1045" spans="1:9">
      <c r="A1045" s="433"/>
      <c r="B1045" s="433"/>
      <c r="C1045" s="433"/>
      <c r="D1045" s="1329"/>
      <c r="E1045" s="1329"/>
      <c r="F1045" s="1329"/>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2719</v>
      </c>
      <c r="C1050" s="433"/>
      <c r="D1050" s="433" t="s">
        <v>2000</v>
      </c>
      <c r="I1050" s="524" t="s">
        <v>2112</v>
      </c>
    </row>
    <row r="1051" spans="1:9">
      <c r="A1051" s="433"/>
      <c r="B1051" s="433"/>
      <c r="C1051" s="433"/>
      <c r="I1051" s="524"/>
    </row>
    <row r="1052" spans="1:9">
      <c r="A1052" s="433"/>
      <c r="B1052" s="519" t="s">
        <v>2719</v>
      </c>
      <c r="C1052" s="433"/>
      <c r="D1052" s="1329" t="s">
        <v>2006</v>
      </c>
      <c r="E1052" s="1329"/>
      <c r="F1052" s="1329"/>
      <c r="I1052" s="524" t="s">
        <v>2113</v>
      </c>
    </row>
    <row r="1053" spans="1:9">
      <c r="A1053" s="433"/>
      <c r="B1053" s="433"/>
      <c r="C1053" s="433"/>
      <c r="D1053" s="1329"/>
      <c r="E1053" s="1329"/>
      <c r="F1053" s="1329"/>
      <c r="I1053" s="524"/>
    </row>
    <row r="1054" spans="1:9">
      <c r="A1054" s="433"/>
      <c r="B1054" s="433"/>
      <c r="C1054" s="433"/>
      <c r="D1054" s="1329"/>
      <c r="E1054" s="1329"/>
      <c r="F1054" s="1329"/>
      <c r="I1054" s="524"/>
    </row>
    <row r="1055" spans="1:9">
      <c r="A1055" s="433"/>
      <c r="B1055" s="433"/>
      <c r="C1055" s="433"/>
      <c r="D1055" s="1329"/>
      <c r="E1055" s="1329"/>
      <c r="F1055" s="1329"/>
      <c r="I1055" s="524"/>
    </row>
    <row r="1056" spans="1:9">
      <c r="A1056" s="433"/>
      <c r="B1056" s="433"/>
      <c r="C1056" s="433"/>
      <c r="D1056" s="1329"/>
      <c r="E1056" s="1329"/>
      <c r="F1056" s="1329"/>
      <c r="I1056" s="524"/>
    </row>
    <row r="1057" spans="1:9">
      <c r="A1057" s="433"/>
      <c r="B1057" s="433"/>
      <c r="C1057" s="433"/>
      <c r="I1057" s="524"/>
    </row>
    <row r="1058" spans="1:9">
      <c r="A1058" s="1313" t="s">
        <v>2007</v>
      </c>
      <c r="B1058" s="1313"/>
      <c r="C1058" s="1313"/>
      <c r="D1058" s="1313"/>
      <c r="E1058" s="1313"/>
      <c r="F1058" s="1313"/>
      <c r="G1058" s="1313"/>
      <c r="H1058" s="1063"/>
      <c r="I1058" s="1256"/>
    </row>
    <row r="1059" spans="1:9">
      <c r="A1059" s="433"/>
      <c r="B1059" s="433"/>
      <c r="C1059" s="433"/>
      <c r="I1059" s="524"/>
    </row>
    <row r="1060" spans="1:9">
      <c r="A1060" s="433"/>
      <c r="B1060" s="433"/>
      <c r="C1060" s="433"/>
      <c r="I1060" s="524"/>
    </row>
    <row r="1061" spans="1:9">
      <c r="A1061" s="433"/>
      <c r="B1061" s="519" t="s">
        <v>2719</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2720</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2720</v>
      </c>
      <c r="C1067" s="433"/>
      <c r="D1067" s="119" t="s">
        <v>2016</v>
      </c>
      <c r="I1067" s="524" t="s">
        <v>2116</v>
      </c>
    </row>
    <row r="1068" spans="1:9">
      <c r="A1068" s="433"/>
      <c r="B1068" s="433"/>
      <c r="C1068" s="433"/>
      <c r="D1068" s="1268" t="s">
        <v>2017</v>
      </c>
      <c r="E1068" s="1268"/>
      <c r="F1068" s="1268"/>
      <c r="I1068" s="524"/>
    </row>
    <row r="1069" spans="1:9">
      <c r="A1069" s="433"/>
      <c r="B1069" s="433"/>
      <c r="C1069" s="433"/>
      <c r="D1069" s="1268"/>
      <c r="E1069" s="1268"/>
      <c r="F1069" s="1268"/>
      <c r="I1069" s="524"/>
    </row>
    <row r="1070" spans="1:9">
      <c r="A1070" s="433"/>
      <c r="B1070" s="433"/>
      <c r="C1070" s="433"/>
      <c r="D1070" s="1268"/>
      <c r="E1070" s="1268"/>
      <c r="F1070" s="1268"/>
      <c r="I1070" s="524"/>
    </row>
    <row r="1071" spans="1:9">
      <c r="A1071" s="433"/>
      <c r="B1071" s="433"/>
      <c r="C1071" s="433"/>
      <c r="D1071" s="1268"/>
      <c r="E1071" s="1268"/>
      <c r="F1071" s="1268"/>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2720</v>
      </c>
      <c r="C1075" s="433"/>
      <c r="D1075" s="1328" t="s">
        <v>2009</v>
      </c>
      <c r="E1075" s="1328"/>
      <c r="F1075" s="1328"/>
      <c r="I1075" s="524"/>
    </row>
    <row r="1076" spans="1:9">
      <c r="A1076" s="433"/>
      <c r="B1076" s="433"/>
      <c r="C1076" s="433"/>
      <c r="D1076" s="1328"/>
      <c r="E1076" s="1328"/>
      <c r="F1076" s="1328"/>
      <c r="I1076" s="524"/>
    </row>
    <row r="1077" spans="1:9">
      <c r="A1077" s="433"/>
      <c r="B1077" s="433"/>
      <c r="C1077" s="433"/>
      <c r="D1077" s="1328"/>
      <c r="E1077" s="1328"/>
      <c r="F1077" s="1328"/>
      <c r="I1077" s="524"/>
    </row>
    <row r="1078" spans="1:9">
      <c r="A1078" s="433"/>
      <c r="B1078" s="433"/>
      <c r="C1078" s="433"/>
      <c r="D1078" s="1328"/>
      <c r="E1078" s="1328"/>
      <c r="F1078" s="1328"/>
      <c r="I1078" s="524"/>
    </row>
    <row r="1079" spans="1:9">
      <c r="A1079" s="433"/>
      <c r="B1079" s="433"/>
      <c r="C1079" s="433"/>
      <c r="D1079" s="1328"/>
      <c r="E1079" s="1328"/>
      <c r="F1079" s="1328"/>
      <c r="I1079" s="524"/>
    </row>
    <row r="1080" spans="1:9">
      <c r="A1080" s="433"/>
      <c r="B1080" s="433"/>
      <c r="C1080" s="433"/>
      <c r="D1080" s="561" t="s">
        <v>2014</v>
      </c>
      <c r="I1080" s="524"/>
    </row>
    <row r="1081" spans="1:9">
      <c r="A1081" s="433"/>
      <c r="B1081" s="433"/>
      <c r="C1081" s="433"/>
      <c r="I1081" s="524"/>
    </row>
    <row r="1082" spans="1:9">
      <c r="A1082" s="1313" t="s">
        <v>2019</v>
      </c>
      <c r="B1082" s="1313"/>
      <c r="C1082" s="1313"/>
      <c r="D1082" s="1313"/>
      <c r="E1082" s="1313"/>
      <c r="F1082" s="1313"/>
      <c r="G1082" s="1313"/>
      <c r="H1082" s="1063"/>
      <c r="I1082" s="1256"/>
    </row>
    <row r="1083" spans="1:9">
      <c r="A1083" s="433"/>
      <c r="B1083" s="433"/>
      <c r="C1083" s="433"/>
      <c r="I1083" s="524"/>
    </row>
    <row r="1084" spans="1:9">
      <c r="A1084" s="433"/>
      <c r="B1084" s="433"/>
      <c r="C1084" s="433"/>
      <c r="I1084" s="524"/>
    </row>
    <row r="1085" spans="1:9" ht="12.75" customHeight="1">
      <c r="A1085" s="433"/>
      <c r="B1085" s="519" t="s">
        <v>2719</v>
      </c>
      <c r="C1085" s="433"/>
      <c r="D1085" s="1330" t="s">
        <v>2224</v>
      </c>
      <c r="E1085" s="1330"/>
      <c r="F1085" s="1330"/>
      <c r="I1085" s="524" t="s">
        <v>2118</v>
      </c>
    </row>
    <row r="1086" spans="1:9">
      <c r="A1086" s="433"/>
      <c r="B1086" s="433"/>
      <c r="C1086" s="433"/>
      <c r="D1086" s="1330"/>
      <c r="E1086" s="1330"/>
      <c r="F1086" s="1330"/>
      <c r="I1086" s="524"/>
    </row>
    <row r="1087" spans="1:9">
      <c r="A1087" s="433"/>
      <c r="B1087" s="433"/>
      <c r="C1087" s="433"/>
      <c r="D1087" s="1331" t="s">
        <v>2497</v>
      </c>
      <c r="E1087" s="1268"/>
      <c r="F1087" s="1268"/>
      <c r="I1087" s="524"/>
    </row>
    <row r="1088" spans="1:9">
      <c r="A1088" s="433"/>
      <c r="B1088" s="433"/>
      <c r="C1088" s="433"/>
      <c r="D1088" s="561"/>
      <c r="I1088" s="524"/>
    </row>
    <row r="1089" spans="1:9">
      <c r="A1089" s="433"/>
      <c r="B1089" s="519" t="s">
        <v>2720</v>
      </c>
      <c r="C1089" s="433"/>
      <c r="D1089" s="1328" t="s">
        <v>2020</v>
      </c>
      <c r="E1089" s="1328"/>
      <c r="F1089" s="1328"/>
      <c r="I1089" s="524" t="s">
        <v>2119</v>
      </c>
    </row>
    <row r="1090" spans="1:9">
      <c r="A1090" s="433"/>
      <c r="B1090" s="433"/>
      <c r="C1090" s="433"/>
      <c r="D1090" s="1328"/>
      <c r="E1090" s="1328"/>
      <c r="F1090" s="1328"/>
      <c r="I1090" s="524"/>
    </row>
    <row r="1091" spans="1:9">
      <c r="A1091" s="433"/>
      <c r="B1091" s="433"/>
      <c r="C1091" s="433"/>
      <c r="D1091" s="561"/>
      <c r="I1091" s="524"/>
    </row>
    <row r="1092" spans="1:9">
      <c r="A1092" s="433"/>
      <c r="B1092" s="519" t="s">
        <v>2720</v>
      </c>
      <c r="C1092" s="433"/>
      <c r="D1092" s="1328" t="s">
        <v>2163</v>
      </c>
      <c r="E1092" s="1328"/>
      <c r="F1092" s="1328"/>
      <c r="I1092" s="524" t="s">
        <v>2161</v>
      </c>
    </row>
    <row r="1093" spans="1:9">
      <c r="A1093" s="433"/>
      <c r="B1093" s="433"/>
      <c r="C1093" s="433"/>
      <c r="D1093" s="1328"/>
      <c r="E1093" s="1328"/>
      <c r="F1093" s="1328"/>
      <c r="I1093" s="524"/>
    </row>
    <row r="1094" spans="1:9">
      <c r="A1094" s="433"/>
      <c r="B1094" s="433"/>
      <c r="C1094" s="433"/>
      <c r="D1094" s="1328"/>
      <c r="E1094" s="1328"/>
      <c r="F1094" s="1328"/>
      <c r="I1094" s="524"/>
    </row>
    <row r="1095" spans="1:9">
      <c r="A1095" s="433"/>
      <c r="B1095" s="433"/>
      <c r="C1095" s="433"/>
      <c r="D1095" s="1328"/>
      <c r="E1095" s="1328"/>
      <c r="F1095" s="1328"/>
      <c r="I1095" s="524"/>
    </row>
    <row r="1096" spans="1:9">
      <c r="A1096" s="433"/>
      <c r="B1096" s="433"/>
      <c r="C1096" s="433"/>
      <c r="D1096" s="1328"/>
      <c r="E1096" s="1328"/>
      <c r="F1096" s="1328"/>
      <c r="I1096" s="524"/>
    </row>
    <row r="1097" spans="1:9">
      <c r="A1097" s="433"/>
      <c r="B1097" s="433"/>
      <c r="C1097" s="433"/>
      <c r="D1097" s="1328"/>
      <c r="E1097" s="1328"/>
      <c r="F1097" s="1328"/>
      <c r="I1097" s="524"/>
    </row>
    <row r="1098" spans="1:9">
      <c r="A1098" s="433"/>
      <c r="B1098" s="433"/>
      <c r="C1098" s="433"/>
      <c r="D1098" s="561" t="s">
        <v>2162</v>
      </c>
      <c r="I1098" s="514"/>
    </row>
    <row r="1099" spans="1:9">
      <c r="A1099" s="433"/>
      <c r="B1099" s="519" t="s">
        <v>2720</v>
      </c>
      <c r="C1099" s="433"/>
      <c r="D1099" s="1328" t="s">
        <v>2021</v>
      </c>
      <c r="E1099" s="1328"/>
      <c r="F1099" s="1328"/>
      <c r="I1099" s="524" t="s">
        <v>2120</v>
      </c>
    </row>
    <row r="1100" spans="1:9">
      <c r="A1100" s="433"/>
      <c r="B1100" s="433"/>
      <c r="C1100" s="433"/>
      <c r="D1100" s="1328"/>
      <c r="E1100" s="1328"/>
      <c r="F1100" s="1328"/>
      <c r="I1100" s="524"/>
    </row>
    <row r="1101" spans="1:9">
      <c r="A1101" s="433"/>
      <c r="B1101" s="433"/>
      <c r="C1101" s="433"/>
      <c r="D1101" s="1328"/>
      <c r="E1101" s="1328"/>
      <c r="F1101" s="1328"/>
      <c r="I1101" s="524"/>
    </row>
    <row r="1102" spans="1:9">
      <c r="A1102" s="433"/>
      <c r="B1102" s="433"/>
      <c r="C1102" s="433"/>
      <c r="D1102" s="561"/>
      <c r="I1102" s="524"/>
    </row>
    <row r="1103" spans="1:9">
      <c r="A1103" s="433"/>
      <c r="B1103" s="519" t="s">
        <v>2720</v>
      </c>
      <c r="C1103" s="433"/>
      <c r="D1103" s="1272" t="s">
        <v>2164</v>
      </c>
      <c r="E1103" s="1272"/>
      <c r="F1103" s="1272"/>
      <c r="I1103" s="524" t="s">
        <v>2121</v>
      </c>
    </row>
    <row r="1104" spans="1:9">
      <c r="A1104" s="433"/>
      <c r="B1104" s="433"/>
      <c r="C1104" s="433"/>
      <c r="D1104" s="1272"/>
      <c r="E1104" s="1272"/>
      <c r="F1104" s="1272"/>
      <c r="I1104" s="524"/>
    </row>
    <row r="1105" spans="1:9">
      <c r="A1105" s="433"/>
      <c r="B1105" s="433"/>
      <c r="C1105" s="433"/>
      <c r="D1105" s="1272"/>
      <c r="E1105" s="1272"/>
      <c r="F1105" s="1272"/>
      <c r="I1105" s="524"/>
    </row>
    <row r="1106" spans="1:9">
      <c r="A1106" s="433"/>
      <c r="B1106" s="433"/>
      <c r="C1106" s="433"/>
      <c r="D1106" s="1015"/>
      <c r="E1106" s="1015"/>
      <c r="F1106" s="1015"/>
      <c r="I1106" s="524"/>
    </row>
    <row r="1107" spans="1:9" ht="15.75" customHeight="1">
      <c r="A1107" s="433"/>
      <c r="B1107" s="519" t="s">
        <v>2720</v>
      </c>
      <c r="C1107" s="433"/>
      <c r="D1107" s="1268" t="s">
        <v>2166</v>
      </c>
      <c r="E1107" s="1268"/>
      <c r="F1107" s="1268"/>
      <c r="I1107" s="524" t="s">
        <v>2165</v>
      </c>
    </row>
    <row r="1108" spans="1:9">
      <c r="A1108" s="433"/>
      <c r="B1108" s="433"/>
      <c r="C1108" s="433"/>
      <c r="D1108" s="1268"/>
      <c r="E1108" s="1268"/>
      <c r="F1108" s="1268"/>
      <c r="I1108" s="524"/>
    </row>
    <row r="1109" spans="1:9">
      <c r="A1109" s="433"/>
      <c r="B1109" s="433"/>
      <c r="C1109" s="433"/>
      <c r="D1109" s="1268"/>
      <c r="E1109" s="1268"/>
      <c r="F1109" s="1268"/>
      <c r="I1109" s="524"/>
    </row>
    <row r="1110" spans="1:9">
      <c r="A1110" s="433"/>
      <c r="B1110" s="433"/>
      <c r="C1110" s="433"/>
      <c r="D1110" s="1268"/>
      <c r="E1110" s="1268"/>
      <c r="F1110" s="1268"/>
      <c r="I1110" s="524"/>
    </row>
    <row r="1111" spans="1:9">
      <c r="A1111" s="433"/>
      <c r="B1111" s="433"/>
      <c r="C1111" s="433"/>
      <c r="D1111" s="1015"/>
      <c r="E1111" s="1015"/>
      <c r="F1111" s="1015"/>
      <c r="I1111" s="524"/>
    </row>
    <row r="1112" spans="1:9" ht="39.6">
      <c r="A1112" s="433"/>
      <c r="B1112" s="433"/>
      <c r="C1112" s="433"/>
      <c r="I1112" s="1262" t="s">
        <v>2381</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4"/>
      <c r="H1525" s="1294"/>
      <c r="I1525" s="1294"/>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B1022" zoomScale="108" zoomScaleNormal="100" workbookViewId="0">
      <selection activeCell="AK841" sqref="AK841"/>
    </sheetView>
  </sheetViews>
  <sheetFormatPr defaultColWidth="0" defaultRowHeight="0" customHeight="1" zeroHeight="1"/>
  <cols>
    <col min="1" max="36" width="2.6640625" customWidth="1"/>
    <col min="37" max="37" width="2.77734375" customWidth="1"/>
    <col min="38" max="45" width="2.66406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05" customHeight="1">
      <c r="J1" s="100"/>
      <c r="AS1" s="1066">
        <v>4</v>
      </c>
    </row>
    <row r="2" spans="1:51" ht="13.05" customHeight="1"/>
    <row r="3" spans="1:51" ht="13.05" customHeight="1"/>
    <row r="4" spans="1:51" ht="13.05" customHeight="1"/>
    <row r="5" spans="1:51" ht="13.05" customHeight="1"/>
    <row r="6" spans="1:51" ht="13.05" customHeight="1"/>
    <row r="7" spans="1:51" ht="13.05" customHeight="1"/>
    <row r="8" spans="1:51" ht="26.25" customHeight="1">
      <c r="A8" s="1426" t="s">
        <v>100</v>
      </c>
      <c r="B8" s="1426"/>
      <c r="C8" s="1426"/>
      <c r="D8" s="1426"/>
      <c r="E8" s="1426"/>
      <c r="F8" s="1426"/>
      <c r="G8" s="1426"/>
      <c r="H8" s="1426"/>
      <c r="I8" s="1426"/>
      <c r="J8" s="1426"/>
      <c r="K8" s="1426"/>
      <c r="L8" s="1426"/>
      <c r="M8" s="1426"/>
      <c r="N8" s="1426"/>
      <c r="O8" s="1426"/>
      <c r="P8" s="1426"/>
      <c r="Q8" s="1426"/>
      <c r="R8" s="1426"/>
      <c r="S8" s="1426"/>
      <c r="T8" s="1426"/>
      <c r="U8" s="1426"/>
      <c r="V8" s="1426"/>
      <c r="W8" s="1426"/>
      <c r="X8" s="1426"/>
      <c r="Y8" s="1426"/>
      <c r="Z8" s="1426"/>
      <c r="AA8" s="1426"/>
      <c r="AB8" s="1426"/>
      <c r="AC8" s="1426"/>
      <c r="AD8" s="1426"/>
      <c r="AE8" s="1426"/>
      <c r="AF8" s="1426"/>
      <c r="AG8" s="1426"/>
      <c r="AH8" s="1426"/>
      <c r="AI8" s="1426"/>
      <c r="AJ8" s="1426"/>
      <c r="AK8" s="1426"/>
      <c r="AL8" s="1426"/>
      <c r="AM8" s="1426"/>
      <c r="AN8" s="1426"/>
      <c r="AO8" s="1426"/>
      <c r="AP8" s="1426"/>
      <c r="AQ8" s="1426"/>
      <c r="AR8" s="1426"/>
      <c r="AS8" s="1426"/>
      <c r="AT8" s="1426"/>
      <c r="AU8" s="933"/>
      <c r="AV8" s="933"/>
      <c r="AW8" s="933"/>
      <c r="AX8" s="933"/>
      <c r="AY8" s="933"/>
    </row>
    <row r="9" spans="1:51" ht="13.05" customHeight="1">
      <c r="A9" s="1304" t="s">
        <v>2387</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05" customHeight="1">
      <c r="A10" s="1304" t="s">
        <v>2576</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05" customHeight="1">
      <c r="A11" s="1304" t="s">
        <v>1768</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05" customHeight="1">
      <c r="A12" s="1427" t="s">
        <v>2634</v>
      </c>
      <c r="B12" s="1427"/>
      <c r="C12" s="1427"/>
      <c r="D12" s="1427"/>
      <c r="E12" s="1427"/>
      <c r="F12" s="1427"/>
      <c r="G12" s="1427"/>
      <c r="H12" s="1427"/>
      <c r="I12" s="1427"/>
      <c r="J12" s="1427"/>
      <c r="K12" s="1427"/>
      <c r="L12" s="1427"/>
      <c r="M12" s="1427"/>
      <c r="N12" s="1427"/>
      <c r="O12" s="1427"/>
      <c r="P12" s="1427"/>
      <c r="Q12" s="1427"/>
      <c r="R12" s="1427"/>
      <c r="S12" s="1427"/>
      <c r="T12" s="1427"/>
      <c r="U12" s="1427"/>
      <c r="V12" s="1427"/>
      <c r="W12" s="1427"/>
      <c r="X12" s="1427"/>
      <c r="Y12" s="1427"/>
      <c r="Z12" s="1427"/>
      <c r="AA12" s="1427"/>
      <c r="AB12" s="1427"/>
      <c r="AC12" s="1427"/>
      <c r="AD12" s="1427"/>
      <c r="AE12" s="1427"/>
      <c r="AF12" s="1427"/>
      <c r="AG12" s="1427"/>
      <c r="AH12" s="1427"/>
      <c r="AI12" s="1427"/>
      <c r="AJ12" s="1427"/>
      <c r="AK12" s="1427"/>
      <c r="AL12" s="1427"/>
      <c r="AM12" s="1427"/>
      <c r="AN12" s="1427"/>
      <c r="AO12" s="1427"/>
      <c r="AP12" s="1427"/>
      <c r="AQ12" s="1427"/>
      <c r="AR12" s="1427"/>
      <c r="AS12" s="1427"/>
      <c r="AT12" s="1427"/>
      <c r="AU12" s="6"/>
      <c r="AV12" s="6"/>
      <c r="AW12" s="6"/>
      <c r="AX12" s="6"/>
      <c r="AY12" s="6"/>
    </row>
    <row r="13" spans="1:51" ht="13.05" customHeight="1">
      <c r="A13" s="1266" t="s">
        <v>2388</v>
      </c>
      <c r="B13" s="1266"/>
      <c r="C13" s="1266"/>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1266"/>
      <c r="AM13" s="1266"/>
      <c r="AN13" s="1266"/>
      <c r="AO13" s="1266"/>
      <c r="AP13" s="1266"/>
      <c r="AQ13" s="1266"/>
      <c r="AR13" s="1266"/>
      <c r="AS13" s="1266"/>
      <c r="AT13" s="1266"/>
      <c r="AU13" s="934"/>
      <c r="AV13" s="934"/>
      <c r="AW13" s="934"/>
      <c r="AX13" s="934"/>
      <c r="AY13" s="934"/>
    </row>
    <row r="14" spans="1:51" ht="13.05" customHeight="1">
      <c r="A14" s="1266"/>
      <c r="B14" s="1266"/>
      <c r="C14" s="1266"/>
      <c r="D14" s="1266"/>
      <c r="E14" s="1266"/>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266"/>
      <c r="AT14" s="1266"/>
      <c r="AU14" s="934"/>
      <c r="AV14" s="934"/>
      <c r="AW14" s="934"/>
      <c r="AX14" s="934"/>
      <c r="AY14" s="934"/>
    </row>
    <row r="15" spans="1:51" ht="13.0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05" customHeight="1">
      <c r="A16" s="57" t="s">
        <v>2389</v>
      </c>
      <c r="C16" s="4"/>
      <c r="D16" s="4"/>
      <c r="E16" s="4"/>
      <c r="F16" s="4"/>
      <c r="G16" s="4"/>
      <c r="H16" s="1442" t="s">
        <v>2769</v>
      </c>
      <c r="I16" s="1831"/>
      <c r="J16" s="1831"/>
      <c r="K16" s="1831"/>
      <c r="L16" s="1831"/>
      <c r="M16" s="1831"/>
      <c r="N16" s="1831"/>
      <c r="O16" s="1831"/>
      <c r="P16" s="1831"/>
      <c r="Q16" s="1831"/>
      <c r="R16" s="1831"/>
      <c r="S16" s="1831"/>
      <c r="T16" s="1831"/>
      <c r="U16" s="1831"/>
      <c r="V16" s="1831"/>
      <c r="W16" s="1831"/>
      <c r="X16" s="1831"/>
      <c r="Y16" s="1831"/>
      <c r="Z16" s="1831"/>
      <c r="AA16" s="1831"/>
      <c r="AB16" s="1831"/>
      <c r="AC16" s="1831"/>
      <c r="AD16" s="1831"/>
      <c r="AE16" s="1831"/>
      <c r="AF16" s="1831"/>
      <c r="AG16" s="1831"/>
      <c r="AH16" s="1831"/>
      <c r="AI16" s="1831"/>
      <c r="AJ16" s="1831"/>
    </row>
    <row r="17" spans="1:52" ht="13.05" customHeight="1"/>
    <row r="18" spans="1:52" ht="13.05" customHeight="1">
      <c r="A18" s="57" t="s">
        <v>101</v>
      </c>
      <c r="C18" s="4"/>
      <c r="D18" s="4"/>
      <c r="E18" s="4"/>
      <c r="F18" s="4"/>
      <c r="G18" s="4"/>
      <c r="H18" s="1432" t="s">
        <v>2722</v>
      </c>
      <c r="I18" s="1433"/>
      <c r="J18" s="1433"/>
      <c r="K18" s="1433"/>
      <c r="L18" s="1433"/>
      <c r="M18" s="1433"/>
      <c r="N18" s="1433"/>
      <c r="O18" s="1433"/>
      <c r="P18" s="1433"/>
      <c r="Q18" s="1433"/>
      <c r="R18" s="1433"/>
      <c r="S18" s="1433"/>
      <c r="T18" s="1433"/>
      <c r="U18" s="1433"/>
      <c r="V18" s="1433"/>
      <c r="W18" s="1433"/>
      <c r="X18" s="1433"/>
      <c r="Y18" s="1433"/>
      <c r="Z18" s="1433"/>
      <c r="AA18" s="1433"/>
      <c r="AB18" s="1433"/>
      <c r="AC18" s="1433"/>
      <c r="AD18" s="1433"/>
      <c r="AE18" s="1433"/>
      <c r="AF18" s="1433"/>
      <c r="AG18" s="1433"/>
      <c r="AH18" s="1433"/>
      <c r="AI18" s="1433"/>
      <c r="AJ18" s="1433"/>
    </row>
    <row r="19" spans="1:52" ht="13.05" customHeight="1"/>
    <row r="20" spans="1:52" ht="13.05" customHeight="1">
      <c r="A20" s="1428" t="s">
        <v>883</v>
      </c>
      <c r="B20" s="1428"/>
      <c r="C20" s="1428"/>
      <c r="D20" s="1428"/>
      <c r="E20" s="1428"/>
      <c r="F20" s="1428"/>
      <c r="G20" s="1428"/>
      <c r="H20" s="1428"/>
      <c r="I20" s="1428"/>
      <c r="J20" s="1428"/>
      <c r="K20" s="1428"/>
      <c r="L20" s="1428"/>
      <c r="M20" s="1428"/>
      <c r="N20" s="1428"/>
      <c r="O20" s="1428"/>
      <c r="P20" s="1428"/>
      <c r="Q20" s="1428"/>
      <c r="R20" s="1428"/>
      <c r="S20" s="1428"/>
      <c r="T20" s="1428"/>
      <c r="U20" s="1428"/>
      <c r="V20" s="1428"/>
      <c r="W20" s="1428"/>
      <c r="X20" s="1428"/>
      <c r="Y20" s="1428"/>
      <c r="Z20" s="1428"/>
      <c r="AA20" s="1428"/>
      <c r="AB20" s="1428"/>
      <c r="AC20" s="1428"/>
      <c r="AD20" s="1428"/>
      <c r="AE20" s="1428"/>
      <c r="AF20" s="1428"/>
      <c r="AG20" s="1428"/>
      <c r="AH20" s="1428"/>
      <c r="AI20" s="1428"/>
      <c r="AJ20" s="1428"/>
      <c r="AK20" s="1428"/>
      <c r="AL20" s="1428"/>
      <c r="AM20" s="1428"/>
      <c r="AN20" s="1428"/>
      <c r="AO20" s="1428"/>
      <c r="AP20" s="1428"/>
      <c r="AQ20" s="1428"/>
      <c r="AR20" s="1428"/>
      <c r="AS20" s="1428"/>
      <c r="AT20" s="1428"/>
      <c r="AU20" s="935"/>
      <c r="AV20" s="935"/>
      <c r="AW20" s="935"/>
      <c r="AX20" s="935"/>
      <c r="AY20" s="935"/>
    </row>
    <row r="21" spans="1:52" ht="13.05" customHeight="1">
      <c r="A21" s="1832" t="s">
        <v>1032</v>
      </c>
      <c r="B21" s="1832"/>
      <c r="C21" s="1832"/>
      <c r="D21" s="1832"/>
      <c r="E21" s="1832"/>
      <c r="F21" s="1832"/>
      <c r="G21" s="1832"/>
      <c r="H21" s="1832"/>
      <c r="I21" s="1832"/>
      <c r="J21" s="1832"/>
      <c r="K21" s="1832"/>
      <c r="L21" s="1832"/>
      <c r="M21" s="1832"/>
      <c r="N21" s="1832"/>
      <c r="O21" s="1832"/>
      <c r="P21" s="1832"/>
      <c r="Q21" s="1832"/>
      <c r="R21" s="1832"/>
      <c r="S21" s="1832"/>
      <c r="T21" s="1832"/>
      <c r="U21" s="1832"/>
      <c r="V21" s="1832"/>
      <c r="W21" s="1832"/>
      <c r="X21" s="1832"/>
      <c r="Y21" s="1832"/>
      <c r="Z21" s="1832"/>
      <c r="AA21" s="1832"/>
      <c r="AB21" s="1832"/>
      <c r="AC21" s="1832"/>
      <c r="AD21" s="1832"/>
      <c r="AE21" s="1832"/>
      <c r="AF21" s="1832"/>
      <c r="AG21" s="1832"/>
      <c r="AH21" s="1832"/>
      <c r="AI21" s="1832"/>
      <c r="AJ21" s="1832"/>
      <c r="AK21" s="1832"/>
      <c r="AL21" s="1832"/>
      <c r="AM21" s="936"/>
      <c r="AN21" s="936"/>
      <c r="AO21" s="936"/>
      <c r="AP21" s="936"/>
      <c r="AQ21" s="936"/>
      <c r="AR21" s="936"/>
      <c r="AS21" s="936"/>
      <c r="AT21" s="936"/>
      <c r="AU21" s="936"/>
      <c r="AV21" s="936"/>
      <c r="AW21" s="936"/>
      <c r="AX21" s="936"/>
      <c r="AY21" s="936"/>
    </row>
    <row r="22" spans="1:52" ht="13.0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05" customHeight="1">
      <c r="A23" s="1330" t="s">
        <v>2501</v>
      </c>
      <c r="B23" s="1330"/>
      <c r="C23" s="1330"/>
      <c r="D23" s="1330"/>
      <c r="E23" s="1330"/>
      <c r="F23" s="1330"/>
      <c r="G23" s="1330"/>
      <c r="H23" s="1330"/>
      <c r="I23" s="1330"/>
      <c r="J23" s="1330"/>
      <c r="K23" s="1330"/>
      <c r="L23" s="1330"/>
      <c r="M23" s="1330"/>
      <c r="N23" s="1330"/>
      <c r="O23" s="1330"/>
      <c r="P23" s="1330"/>
      <c r="Q23" s="1330"/>
      <c r="R23" s="1330"/>
      <c r="S23" s="1330"/>
      <c r="T23" s="1330"/>
      <c r="U23" s="1330"/>
      <c r="V23" s="1330"/>
      <c r="W23" s="1330"/>
      <c r="X23" s="1330"/>
      <c r="Y23" s="1330"/>
      <c r="Z23" s="1330"/>
      <c r="AA23" s="1330"/>
      <c r="AB23" s="1330"/>
      <c r="AC23" s="1330"/>
      <c r="AD23" s="1330"/>
      <c r="AE23" s="1330"/>
      <c r="AF23" s="1330"/>
      <c r="AG23" s="1330"/>
      <c r="AH23" s="1330"/>
      <c r="AI23" s="1330"/>
      <c r="AJ23" s="1330"/>
      <c r="AK23" s="1330"/>
      <c r="AL23" s="1330"/>
      <c r="AM23" s="1330"/>
      <c r="AN23" s="1330"/>
      <c r="AO23" s="1330"/>
      <c r="AP23" s="1330"/>
      <c r="AQ23" s="1330"/>
      <c r="AR23" s="1330"/>
      <c r="AS23" s="1330"/>
      <c r="AT23" s="1330"/>
      <c r="AU23" s="18"/>
      <c r="AV23" s="18"/>
      <c r="AW23" s="18"/>
      <c r="AX23" s="18"/>
      <c r="AY23" s="18"/>
      <c r="AZ23" s="18"/>
    </row>
    <row r="24" spans="1:52" ht="13.05" customHeight="1">
      <c r="A24" s="1330"/>
      <c r="B24" s="1330"/>
      <c r="C24" s="1330"/>
      <c r="D24" s="1330"/>
      <c r="E24" s="1330"/>
      <c r="F24" s="1330"/>
      <c r="G24" s="1330"/>
      <c r="H24" s="1330"/>
      <c r="I24" s="1330"/>
      <c r="J24" s="1330"/>
      <c r="K24" s="1330"/>
      <c r="L24" s="1330"/>
      <c r="M24" s="1330"/>
      <c r="N24" s="1330"/>
      <c r="O24" s="1330"/>
      <c r="P24" s="1330"/>
      <c r="Q24" s="1330"/>
      <c r="R24" s="1330"/>
      <c r="S24" s="1330"/>
      <c r="T24" s="1330"/>
      <c r="U24" s="1330"/>
      <c r="V24" s="1330"/>
      <c r="W24" s="1330"/>
      <c r="X24" s="1330"/>
      <c r="Y24" s="1330"/>
      <c r="Z24" s="1330"/>
      <c r="AA24" s="1330"/>
      <c r="AB24" s="1330"/>
      <c r="AC24" s="1330"/>
      <c r="AD24" s="1330"/>
      <c r="AE24" s="1330"/>
      <c r="AF24" s="1330"/>
      <c r="AG24" s="1330"/>
      <c r="AH24" s="1330"/>
      <c r="AI24" s="1330"/>
      <c r="AJ24" s="1330"/>
      <c r="AK24" s="1330"/>
      <c r="AL24" s="1330"/>
      <c r="AM24" s="1330"/>
      <c r="AN24" s="1330"/>
      <c r="AO24" s="1330"/>
      <c r="AP24" s="1330"/>
      <c r="AQ24" s="1330"/>
      <c r="AR24" s="1330"/>
      <c r="AS24" s="1330"/>
      <c r="AT24" s="1330"/>
      <c r="AU24" s="18"/>
      <c r="AV24" s="18"/>
      <c r="AW24" s="18"/>
      <c r="AX24" s="18"/>
      <c r="AY24" s="18"/>
      <c r="AZ24" s="18"/>
    </row>
    <row r="25" spans="1:52" ht="13.0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05" customHeight="1">
      <c r="A26" s="4"/>
      <c r="C26" s="4"/>
      <c r="D26" s="4"/>
      <c r="E26" s="4"/>
      <c r="F26" s="4"/>
      <c r="G26" s="4"/>
      <c r="H26" s="4"/>
      <c r="I26" s="4"/>
      <c r="J26" s="4"/>
      <c r="K26" s="4"/>
      <c r="L26" s="4"/>
      <c r="M26" s="1830">
        <f>'Basis &amp; Credits'!AB56</f>
        <v>3896318</v>
      </c>
      <c r="N26" s="1830"/>
      <c r="O26" s="1830"/>
      <c r="P26" s="1830"/>
      <c r="Q26" s="1830"/>
      <c r="R26" s="4" t="s">
        <v>767</v>
      </c>
      <c r="S26" s="4"/>
      <c r="T26" s="4"/>
      <c r="U26" s="4"/>
      <c r="V26" s="4"/>
      <c r="W26" s="4"/>
      <c r="X26" s="4"/>
      <c r="Y26" s="4"/>
      <c r="Z26" s="4"/>
      <c r="AF26" s="4"/>
      <c r="AG26" s="4"/>
      <c r="AH26" s="4"/>
      <c r="AI26" s="4"/>
      <c r="AJ26" s="4"/>
      <c r="AK26" s="4"/>
    </row>
    <row r="27" spans="1:52" ht="13.05" customHeight="1">
      <c r="A27" s="4"/>
      <c r="C27" s="4"/>
      <c r="D27" s="4"/>
      <c r="E27" s="4"/>
      <c r="F27" s="4"/>
      <c r="G27" s="4"/>
      <c r="H27" s="4"/>
      <c r="I27" s="4"/>
      <c r="J27" s="4"/>
      <c r="K27" s="4"/>
      <c r="L27" s="4"/>
      <c r="M27" s="1359">
        <f>'Basis &amp; Credits'!AB78</f>
        <v>16138146</v>
      </c>
      <c r="N27" s="1359"/>
      <c r="O27" s="1359"/>
      <c r="P27" s="1359"/>
      <c r="Q27" s="1359"/>
      <c r="R27" s="3" t="s">
        <v>1374</v>
      </c>
      <c r="S27" s="4"/>
      <c r="T27" s="4"/>
      <c r="U27" s="4"/>
      <c r="V27" s="4"/>
      <c r="W27" s="4"/>
      <c r="X27" s="4"/>
      <c r="Y27" s="4"/>
      <c r="Z27" s="4"/>
      <c r="AF27" s="4"/>
      <c r="AG27" s="4"/>
      <c r="AH27" s="4"/>
      <c r="AI27" s="4"/>
      <c r="AJ27" s="4"/>
      <c r="AK27" s="4"/>
    </row>
    <row r="28" spans="1:52" ht="13.0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05" customHeight="1">
      <c r="A29" s="1429" t="s">
        <v>2502</v>
      </c>
      <c r="B29" s="1429"/>
      <c r="C29" s="1429"/>
      <c r="D29" s="1429"/>
      <c r="E29" s="1429"/>
      <c r="F29" s="1429"/>
      <c r="G29" s="1429"/>
      <c r="H29" s="1429"/>
      <c r="I29" s="1429"/>
      <c r="J29" s="1429"/>
      <c r="K29" s="1429"/>
      <c r="L29" s="1429"/>
      <c r="M29" s="1429"/>
      <c r="N29" s="1429"/>
      <c r="O29" s="1429"/>
      <c r="P29" s="1429"/>
      <c r="Q29" s="1429"/>
      <c r="R29" s="1429"/>
      <c r="S29" s="1429"/>
      <c r="T29" s="1429"/>
      <c r="U29" s="1429"/>
      <c r="V29" s="1429"/>
      <c r="W29" s="1429"/>
      <c r="X29" s="1429"/>
      <c r="Y29" s="1429"/>
      <c r="Z29" s="1429"/>
      <c r="AA29" s="1429"/>
      <c r="AB29" s="1429"/>
      <c r="AC29" s="1429"/>
      <c r="AD29" s="1429"/>
      <c r="AE29" s="1429"/>
      <c r="AF29" s="1429"/>
      <c r="AG29" s="1429"/>
      <c r="AH29" s="1429"/>
      <c r="AI29" s="1429"/>
      <c r="AJ29" s="1429"/>
      <c r="AK29" s="1429"/>
      <c r="AL29" s="1429"/>
      <c r="AM29" s="1429"/>
      <c r="AN29" s="1429"/>
      <c r="AO29" s="1429"/>
      <c r="AP29" s="1429"/>
      <c r="AQ29" s="1429"/>
      <c r="AR29" s="1429"/>
      <c r="AS29" s="1429"/>
      <c r="AT29" s="1429"/>
    </row>
    <row r="30" spans="1:52" ht="13.05" customHeight="1">
      <c r="A30" s="1429"/>
      <c r="B30" s="1429"/>
      <c r="C30" s="1429"/>
      <c r="D30" s="1429"/>
      <c r="E30" s="1429"/>
      <c r="F30" s="1429"/>
      <c r="G30" s="1429"/>
      <c r="H30" s="1429"/>
      <c r="I30" s="1429"/>
      <c r="J30" s="1429"/>
      <c r="K30" s="1429"/>
      <c r="L30" s="1429"/>
      <c r="M30" s="1429"/>
      <c r="N30" s="1429"/>
      <c r="O30" s="1429"/>
      <c r="P30" s="1429"/>
      <c r="Q30" s="1429"/>
      <c r="R30" s="1429"/>
      <c r="S30" s="1429"/>
      <c r="T30" s="1429"/>
      <c r="U30" s="1429"/>
      <c r="V30" s="1429"/>
      <c r="W30" s="1429"/>
      <c r="X30" s="1429"/>
      <c r="Y30" s="1429"/>
      <c r="Z30" s="1429"/>
      <c r="AA30" s="1429"/>
      <c r="AB30" s="1429"/>
      <c r="AC30" s="1429"/>
      <c r="AD30" s="1429"/>
      <c r="AE30" s="1429"/>
      <c r="AF30" s="1429"/>
      <c r="AG30" s="1429"/>
      <c r="AH30" s="1429"/>
      <c r="AI30" s="1429"/>
      <c r="AJ30" s="1429"/>
      <c r="AK30" s="1429"/>
      <c r="AL30" s="1429"/>
      <c r="AM30" s="1429"/>
      <c r="AN30" s="1429"/>
      <c r="AO30" s="1429"/>
      <c r="AP30" s="1429"/>
      <c r="AQ30" s="1429"/>
      <c r="AR30" s="1429"/>
      <c r="AS30" s="1429"/>
      <c r="AT30" s="1429"/>
      <c r="AZ30" s="20"/>
    </row>
    <row r="31" spans="1:52" ht="13.05" customHeight="1">
      <c r="A31" s="1429"/>
      <c r="B31" s="1429"/>
      <c r="C31" s="1429"/>
      <c r="D31" s="1429"/>
      <c r="E31" s="1429"/>
      <c r="F31" s="1429"/>
      <c r="G31" s="1429"/>
      <c r="H31" s="1429"/>
      <c r="I31" s="1429"/>
      <c r="J31" s="1429"/>
      <c r="K31" s="1429"/>
      <c r="L31" s="1429"/>
      <c r="M31" s="1429"/>
      <c r="N31" s="1429"/>
      <c r="O31" s="1429"/>
      <c r="P31" s="1429"/>
      <c r="Q31" s="1429"/>
      <c r="R31" s="1429"/>
      <c r="S31" s="1429"/>
      <c r="T31" s="1429"/>
      <c r="U31" s="1429"/>
      <c r="V31" s="1429"/>
      <c r="W31" s="1429"/>
      <c r="X31" s="1429"/>
      <c r="Y31" s="1429"/>
      <c r="Z31" s="1429"/>
      <c r="AA31" s="1429"/>
      <c r="AB31" s="1429"/>
      <c r="AC31" s="1429"/>
      <c r="AD31" s="1429"/>
      <c r="AE31" s="1429"/>
      <c r="AF31" s="1429"/>
      <c r="AG31" s="1429"/>
      <c r="AH31" s="1429"/>
      <c r="AI31" s="1429"/>
      <c r="AJ31" s="1429"/>
      <c r="AK31" s="1429"/>
      <c r="AL31" s="1429"/>
      <c r="AM31" s="1429"/>
      <c r="AN31" s="1429"/>
      <c r="AO31" s="1429"/>
      <c r="AP31" s="1429"/>
      <c r="AQ31" s="1429"/>
      <c r="AR31" s="1429"/>
      <c r="AS31" s="1429"/>
      <c r="AT31" s="1429"/>
      <c r="AU31" s="20"/>
      <c r="AV31" s="20"/>
      <c r="AW31" s="20"/>
      <c r="AX31" s="20"/>
      <c r="AY31" s="20"/>
      <c r="AZ31" s="20"/>
    </row>
    <row r="32" spans="1:52" ht="13.0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05" customHeight="1">
      <c r="A33" s="553" t="s">
        <v>1385</v>
      </c>
      <c r="C33" s="553"/>
      <c r="D33" s="553"/>
      <c r="E33" s="553"/>
      <c r="F33" s="553"/>
      <c r="G33" s="553"/>
      <c r="H33" s="553"/>
      <c r="I33" s="553"/>
      <c r="J33" s="553"/>
      <c r="K33" s="553"/>
      <c r="L33" s="553"/>
      <c r="M33" s="553"/>
      <c r="N33" s="553"/>
      <c r="O33" s="1415" t="s">
        <v>553</v>
      </c>
      <c r="P33" s="1415"/>
      <c r="Q33" s="1430" t="s">
        <v>2503</v>
      </c>
      <c r="R33" s="1430"/>
      <c r="S33" s="1430"/>
      <c r="T33" s="1430"/>
      <c r="U33" s="1430"/>
      <c r="V33" s="1430"/>
      <c r="W33" s="1430"/>
      <c r="X33" s="1430"/>
      <c r="Y33" s="1430"/>
      <c r="Z33" s="1430"/>
      <c r="AA33" s="1430"/>
      <c r="AB33" s="1430"/>
      <c r="AC33" s="1430"/>
      <c r="AD33" s="1430"/>
      <c r="AE33" s="1430"/>
      <c r="AF33" s="1430"/>
      <c r="AG33" s="1430"/>
      <c r="AH33" s="1430"/>
      <c r="AI33" s="1430"/>
      <c r="AJ33" s="1430"/>
      <c r="AK33" s="1430"/>
      <c r="AL33" s="1430"/>
      <c r="AM33" s="1430"/>
      <c r="AN33" s="1430"/>
      <c r="AO33" s="1430"/>
      <c r="AP33" s="1430"/>
      <c r="AQ33" s="1430"/>
      <c r="AR33" s="1430"/>
      <c r="AS33" s="1430"/>
      <c r="AT33" s="1430"/>
      <c r="AU33" s="20"/>
      <c r="AV33" s="20"/>
      <c r="AW33" s="20"/>
      <c r="AX33" s="20"/>
      <c r="AY33" s="20"/>
    </row>
    <row r="34" spans="1:52" ht="13.05" customHeight="1">
      <c r="A34" s="1429" t="s">
        <v>2504</v>
      </c>
      <c r="B34" s="1429"/>
      <c r="C34" s="1429"/>
      <c r="D34" s="1429"/>
      <c r="E34" s="1429"/>
      <c r="F34" s="1429"/>
      <c r="G34" s="1429"/>
      <c r="H34" s="1429"/>
      <c r="I34" s="1429"/>
      <c r="J34" s="1429"/>
      <c r="K34" s="1429"/>
      <c r="L34" s="1429"/>
      <c r="M34" s="1429"/>
      <c r="N34" s="1429"/>
      <c r="O34" s="1429"/>
      <c r="P34" s="1429"/>
      <c r="Q34" s="1429"/>
      <c r="R34" s="1429"/>
      <c r="S34" s="1429"/>
      <c r="T34" s="1429"/>
      <c r="U34" s="1429"/>
      <c r="V34" s="1429"/>
      <c r="W34" s="1429"/>
      <c r="X34" s="1429"/>
      <c r="Y34" s="1429"/>
      <c r="Z34" s="1429"/>
      <c r="AA34" s="1429"/>
      <c r="AB34" s="1429"/>
      <c r="AC34" s="1429"/>
      <c r="AD34" s="1429"/>
      <c r="AE34" s="1429"/>
      <c r="AF34" s="1429"/>
      <c r="AG34" s="1429"/>
      <c r="AH34" s="1429"/>
      <c r="AI34" s="1429"/>
      <c r="AJ34" s="1429"/>
      <c r="AK34" s="1429"/>
      <c r="AL34" s="1429"/>
      <c r="AM34" s="1429"/>
      <c r="AN34" s="1429"/>
      <c r="AO34" s="1429"/>
      <c r="AP34" s="1429"/>
      <c r="AQ34" s="1429"/>
      <c r="AR34" s="1429"/>
      <c r="AS34" s="1429"/>
      <c r="AT34" s="1429"/>
      <c r="AU34" s="20"/>
      <c r="AV34" s="20"/>
      <c r="AW34" s="20"/>
      <c r="AX34" s="20"/>
      <c r="AY34" s="20"/>
      <c r="AZ34" s="20"/>
    </row>
    <row r="35" spans="1:52" ht="13.05" customHeight="1">
      <c r="A35" s="1429"/>
      <c r="B35" s="1429"/>
      <c r="C35" s="1429"/>
      <c r="D35" s="1429"/>
      <c r="E35" s="1429"/>
      <c r="F35" s="1429"/>
      <c r="G35" s="1429"/>
      <c r="H35" s="1429"/>
      <c r="I35" s="1429"/>
      <c r="J35" s="1429"/>
      <c r="K35" s="1429"/>
      <c r="L35" s="1429"/>
      <c r="M35" s="1429"/>
      <c r="N35" s="1429"/>
      <c r="O35" s="1429"/>
      <c r="P35" s="1429"/>
      <c r="Q35" s="1429"/>
      <c r="R35" s="1429"/>
      <c r="S35" s="1429"/>
      <c r="T35" s="1429"/>
      <c r="U35" s="1429"/>
      <c r="V35" s="1429"/>
      <c r="W35" s="1429"/>
      <c r="X35" s="1429"/>
      <c r="Y35" s="1429"/>
      <c r="Z35" s="1429"/>
      <c r="AA35" s="1429"/>
      <c r="AB35" s="1429"/>
      <c r="AC35" s="1429"/>
      <c r="AD35" s="1429"/>
      <c r="AE35" s="1429"/>
      <c r="AF35" s="1429"/>
      <c r="AG35" s="1429"/>
      <c r="AH35" s="1429"/>
      <c r="AI35" s="1429"/>
      <c r="AJ35" s="1429"/>
      <c r="AK35" s="1429"/>
      <c r="AL35" s="1429"/>
      <c r="AM35" s="1429"/>
      <c r="AN35" s="1429"/>
      <c r="AO35" s="1429"/>
      <c r="AP35" s="1429"/>
      <c r="AQ35" s="1429"/>
      <c r="AR35" s="1429"/>
      <c r="AS35" s="1429"/>
      <c r="AT35" s="1429"/>
      <c r="AU35" s="20"/>
      <c r="AV35" s="20"/>
      <c r="AW35" s="20"/>
      <c r="AX35" s="20"/>
      <c r="AY35" s="20"/>
      <c r="AZ35" s="20"/>
    </row>
    <row r="36" spans="1:52" ht="13.05" customHeight="1">
      <c r="A36" s="1429"/>
      <c r="B36" s="1429"/>
      <c r="C36" s="1429"/>
      <c r="D36" s="1429"/>
      <c r="E36" s="1429"/>
      <c r="F36" s="1429"/>
      <c r="G36" s="1429"/>
      <c r="H36" s="1429"/>
      <c r="I36" s="1429"/>
      <c r="J36" s="1429"/>
      <c r="K36" s="1429"/>
      <c r="L36" s="1429"/>
      <c r="M36" s="1429"/>
      <c r="N36" s="1429"/>
      <c r="O36" s="1429"/>
      <c r="P36" s="1429"/>
      <c r="Q36" s="1429"/>
      <c r="R36" s="1429"/>
      <c r="S36" s="1429"/>
      <c r="T36" s="1429"/>
      <c r="U36" s="1429"/>
      <c r="V36" s="1429"/>
      <c r="W36" s="1429"/>
      <c r="X36" s="1429"/>
      <c r="Y36" s="1429"/>
      <c r="Z36" s="1429"/>
      <c r="AA36" s="1429"/>
      <c r="AB36" s="1429"/>
      <c r="AC36" s="1429"/>
      <c r="AD36" s="1429"/>
      <c r="AE36" s="1429"/>
      <c r="AF36" s="1429"/>
      <c r="AG36" s="1429"/>
      <c r="AH36" s="1429"/>
      <c r="AI36" s="1429"/>
      <c r="AJ36" s="1429"/>
      <c r="AK36" s="1429"/>
      <c r="AL36" s="1429"/>
      <c r="AM36" s="1429"/>
      <c r="AN36" s="1429"/>
      <c r="AO36" s="1429"/>
      <c r="AP36" s="1429"/>
      <c r="AQ36" s="1429"/>
      <c r="AR36" s="1429"/>
      <c r="AS36" s="1429"/>
      <c r="AT36" s="1429"/>
      <c r="AU36" s="20"/>
      <c r="AV36" s="20"/>
      <c r="AW36" s="20"/>
      <c r="AX36" s="20"/>
      <c r="AY36" s="20"/>
      <c r="AZ36" s="20"/>
    </row>
    <row r="37" spans="1:52" ht="13.05" customHeight="1">
      <c r="A37" s="1429"/>
      <c r="B37" s="1429"/>
      <c r="C37" s="1429"/>
      <c r="D37" s="1429"/>
      <c r="E37" s="1429"/>
      <c r="F37" s="1429"/>
      <c r="G37" s="1429"/>
      <c r="H37" s="1429"/>
      <c r="I37" s="1429"/>
      <c r="J37" s="1429"/>
      <c r="K37" s="1429"/>
      <c r="L37" s="1429"/>
      <c r="M37" s="1429"/>
      <c r="N37" s="1429"/>
      <c r="O37" s="1429"/>
      <c r="P37" s="1429"/>
      <c r="Q37" s="1429"/>
      <c r="R37" s="1429"/>
      <c r="S37" s="1429"/>
      <c r="T37" s="1429"/>
      <c r="U37" s="1429"/>
      <c r="V37" s="1429"/>
      <c r="W37" s="1429"/>
      <c r="X37" s="1429"/>
      <c r="Y37" s="1429"/>
      <c r="Z37" s="1429"/>
      <c r="AA37" s="1429"/>
      <c r="AB37" s="1429"/>
      <c r="AC37" s="1429"/>
      <c r="AD37" s="1429"/>
      <c r="AE37" s="1429"/>
      <c r="AF37" s="1429"/>
      <c r="AG37" s="1429"/>
      <c r="AH37" s="1429"/>
      <c r="AI37" s="1429"/>
      <c r="AJ37" s="1429"/>
      <c r="AK37" s="1429"/>
      <c r="AL37" s="1429"/>
      <c r="AM37" s="1429"/>
      <c r="AN37" s="1429"/>
      <c r="AO37" s="1429"/>
      <c r="AP37" s="1429"/>
      <c r="AQ37" s="1429"/>
      <c r="AR37" s="1429"/>
      <c r="AS37" s="1429"/>
      <c r="AT37" s="1429"/>
      <c r="AZ37" s="20"/>
    </row>
    <row r="38" spans="1:52" ht="13.05" customHeight="1">
      <c r="A38" s="3"/>
      <c r="AZ38" s="20"/>
    </row>
    <row r="39" spans="1:52" ht="13.05" customHeight="1">
      <c r="A39" s="1268" t="s">
        <v>2505</v>
      </c>
      <c r="B39" s="1268"/>
      <c r="C39" s="1268"/>
      <c r="D39" s="1268"/>
      <c r="E39" s="1268"/>
      <c r="F39" s="1268"/>
      <c r="G39" s="1268"/>
      <c r="H39" s="1268"/>
      <c r="I39" s="1268"/>
      <c r="J39" s="1268"/>
      <c r="K39" s="1268"/>
      <c r="L39" s="1268"/>
      <c r="M39" s="1268"/>
      <c r="N39" s="1268"/>
      <c r="O39" s="1268"/>
      <c r="P39" s="1268"/>
      <c r="Q39" s="1268"/>
      <c r="R39" s="1268"/>
      <c r="S39" s="1268"/>
      <c r="T39" s="1268"/>
      <c r="U39" s="1268"/>
      <c r="V39" s="1268"/>
      <c r="W39" s="1268"/>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68"/>
      <c r="AS39" s="1268"/>
      <c r="AT39" s="1268"/>
      <c r="AZ39" s="20"/>
    </row>
    <row r="40" spans="1:52" ht="13.05" customHeight="1">
      <c r="A40" s="1268"/>
      <c r="B40" s="1268"/>
      <c r="C40" s="1268"/>
      <c r="D40" s="1268"/>
      <c r="E40" s="1268"/>
      <c r="F40" s="1268"/>
      <c r="G40" s="1268"/>
      <c r="H40" s="1268"/>
      <c r="I40" s="1268"/>
      <c r="J40" s="1268"/>
      <c r="K40" s="1268"/>
      <c r="L40" s="1268"/>
      <c r="M40" s="1268"/>
      <c r="N40" s="1268"/>
      <c r="O40" s="1268"/>
      <c r="P40" s="1268"/>
      <c r="Q40" s="1268"/>
      <c r="R40" s="1268"/>
      <c r="S40" s="1268"/>
      <c r="T40" s="1268"/>
      <c r="U40" s="1268"/>
      <c r="V40" s="1268"/>
      <c r="W40" s="1268"/>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68"/>
      <c r="AS40" s="1268"/>
      <c r="AT40" s="1268"/>
      <c r="AU40" s="20"/>
      <c r="AV40" s="20"/>
      <c r="AW40" s="20"/>
      <c r="AX40" s="20"/>
      <c r="AY40" s="20"/>
      <c r="AZ40" s="20"/>
    </row>
    <row r="41" spans="1:52" ht="13.05" customHeight="1">
      <c r="A41" s="1268"/>
      <c r="B41" s="1268"/>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20"/>
      <c r="AV41" s="20"/>
      <c r="AW41" s="20"/>
      <c r="AX41" s="20"/>
      <c r="AY41" s="20"/>
      <c r="AZ41" s="20"/>
    </row>
    <row r="42" spans="1:52" ht="13.05" customHeight="1">
      <c r="A42" s="1268"/>
      <c r="B42" s="1268"/>
      <c r="C42" s="1268"/>
      <c r="D42" s="1268"/>
      <c r="E42" s="1268"/>
      <c r="F42" s="1268"/>
      <c r="G42" s="1268"/>
      <c r="H42" s="1268"/>
      <c r="I42" s="1268"/>
      <c r="J42" s="1268"/>
      <c r="K42" s="1268"/>
      <c r="L42" s="1268"/>
      <c r="M42" s="1268"/>
      <c r="N42" s="1268"/>
      <c r="O42" s="1268"/>
      <c r="P42" s="1268"/>
      <c r="Q42" s="1268"/>
      <c r="R42" s="1268"/>
      <c r="S42" s="1268"/>
      <c r="T42" s="1268"/>
      <c r="U42" s="1268"/>
      <c r="V42" s="1268"/>
      <c r="W42" s="1268"/>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68"/>
      <c r="AS42" s="1268"/>
      <c r="AT42" s="1268"/>
      <c r="AZ42" s="20"/>
    </row>
    <row r="43" spans="1:52" ht="13.05" customHeight="1">
      <c r="A43" s="1268"/>
      <c r="B43" s="1268"/>
      <c r="C43" s="1268"/>
      <c r="D43" s="1268"/>
      <c r="E43" s="1268"/>
      <c r="F43" s="1268"/>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c r="AM43" s="1268"/>
      <c r="AN43" s="1268"/>
      <c r="AO43" s="1268"/>
      <c r="AP43" s="1268"/>
      <c r="AQ43" s="1268"/>
      <c r="AR43" s="1268"/>
      <c r="AS43" s="1268"/>
      <c r="AT43" s="1268"/>
      <c r="AU43" s="20"/>
      <c r="AV43" s="20"/>
      <c r="AW43" s="20"/>
      <c r="AX43" s="20"/>
      <c r="AY43" s="20"/>
      <c r="AZ43" s="20"/>
    </row>
    <row r="44" spans="1:52" ht="13.05" customHeight="1">
      <c r="A44" s="1268"/>
      <c r="B44" s="1268"/>
      <c r="C44" s="1268"/>
      <c r="D44" s="1268"/>
      <c r="E44" s="1268"/>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68"/>
      <c r="AS44" s="1268"/>
      <c r="AT44" s="1268"/>
      <c r="AU44" s="20"/>
      <c r="AV44" s="20"/>
      <c r="AW44" s="20"/>
      <c r="AX44" s="20"/>
      <c r="AY44" s="20"/>
      <c r="AZ44" s="20"/>
    </row>
    <row r="45" spans="1:52" ht="13.0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05" customHeight="1">
      <c r="A46" s="1330" t="s">
        <v>2506</v>
      </c>
      <c r="B46" s="1330"/>
      <c r="C46" s="1330"/>
      <c r="D46" s="1330"/>
      <c r="E46" s="1330"/>
      <c r="F46" s="1330"/>
      <c r="G46" s="1330"/>
      <c r="H46" s="1330"/>
      <c r="I46" s="1330"/>
      <c r="J46" s="1330"/>
      <c r="K46" s="1330"/>
      <c r="L46" s="1330"/>
      <c r="M46" s="1330"/>
      <c r="N46" s="1330"/>
      <c r="O46" s="1330"/>
      <c r="P46" s="1330"/>
      <c r="Q46" s="1330"/>
      <c r="R46" s="1330"/>
      <c r="S46" s="1330"/>
      <c r="T46" s="1330"/>
      <c r="U46" s="1330"/>
      <c r="V46" s="1330"/>
      <c r="W46" s="1330"/>
      <c r="X46" s="1330"/>
      <c r="Y46" s="1330"/>
      <c r="Z46" s="1330"/>
      <c r="AA46" s="1330"/>
      <c r="AB46" s="1330"/>
      <c r="AC46" s="1330"/>
      <c r="AD46" s="1330"/>
      <c r="AE46" s="1330"/>
      <c r="AF46" s="1330"/>
      <c r="AG46" s="1330"/>
      <c r="AH46" s="1330"/>
      <c r="AI46" s="1330"/>
      <c r="AJ46" s="1330"/>
      <c r="AK46" s="1330"/>
      <c r="AL46" s="1330"/>
      <c r="AM46" s="1330"/>
      <c r="AN46" s="1330"/>
      <c r="AO46" s="1330"/>
      <c r="AP46" s="1330"/>
      <c r="AQ46" s="1330"/>
      <c r="AR46" s="1330"/>
      <c r="AS46" s="1330"/>
      <c r="AT46" s="1330"/>
      <c r="AU46" s="20"/>
      <c r="AV46" s="20"/>
      <c r="AW46" s="20"/>
      <c r="AX46" s="20"/>
      <c r="AY46" s="20"/>
      <c r="AZ46" s="20"/>
    </row>
    <row r="47" spans="1:52" ht="13.05" customHeight="1">
      <c r="A47" s="1330"/>
      <c r="B47" s="1330"/>
      <c r="C47" s="1330"/>
      <c r="D47" s="1330"/>
      <c r="E47" s="1330"/>
      <c r="F47" s="1330"/>
      <c r="G47" s="1330"/>
      <c r="H47" s="1330"/>
      <c r="I47" s="1330"/>
      <c r="J47" s="1330"/>
      <c r="K47" s="1330"/>
      <c r="L47" s="1330"/>
      <c r="M47" s="1330"/>
      <c r="N47" s="1330"/>
      <c r="O47" s="1330"/>
      <c r="P47" s="1330"/>
      <c r="Q47" s="1330"/>
      <c r="R47" s="1330"/>
      <c r="S47" s="1330"/>
      <c r="T47" s="1330"/>
      <c r="U47" s="1330"/>
      <c r="V47" s="1330"/>
      <c r="W47" s="1330"/>
      <c r="X47" s="1330"/>
      <c r="Y47" s="1330"/>
      <c r="Z47" s="1330"/>
      <c r="AA47" s="1330"/>
      <c r="AB47" s="1330"/>
      <c r="AC47" s="1330"/>
      <c r="AD47" s="1330"/>
      <c r="AE47" s="1330"/>
      <c r="AF47" s="1330"/>
      <c r="AG47" s="1330"/>
      <c r="AH47" s="1330"/>
      <c r="AI47" s="1330"/>
      <c r="AJ47" s="1330"/>
      <c r="AK47" s="1330"/>
      <c r="AL47" s="1330"/>
      <c r="AM47" s="1330"/>
      <c r="AN47" s="1330"/>
      <c r="AO47" s="1330"/>
      <c r="AP47" s="1330"/>
      <c r="AQ47" s="1330"/>
      <c r="AR47" s="1330"/>
      <c r="AS47" s="1330"/>
      <c r="AT47" s="1330"/>
      <c r="AU47" s="20"/>
      <c r="AV47" s="20"/>
      <c r="AW47" s="20"/>
      <c r="AX47" s="20"/>
      <c r="AY47" s="20"/>
      <c r="AZ47" s="20"/>
    </row>
    <row r="48" spans="1:52" ht="13.05" customHeight="1">
      <c r="A48" s="1330"/>
      <c r="B48" s="1330"/>
      <c r="C48" s="1330"/>
      <c r="D48" s="1330"/>
      <c r="E48" s="1330"/>
      <c r="F48" s="1330"/>
      <c r="G48" s="1330"/>
      <c r="H48" s="1330"/>
      <c r="I48" s="1330"/>
      <c r="J48" s="1330"/>
      <c r="K48" s="1330"/>
      <c r="L48" s="1330"/>
      <c r="M48" s="1330"/>
      <c r="N48" s="1330"/>
      <c r="O48" s="1330"/>
      <c r="P48" s="1330"/>
      <c r="Q48" s="1330"/>
      <c r="R48" s="1330"/>
      <c r="S48" s="1330"/>
      <c r="T48" s="1330"/>
      <c r="U48" s="1330"/>
      <c r="V48" s="1330"/>
      <c r="W48" s="1330"/>
      <c r="X48" s="1330"/>
      <c r="Y48" s="1330"/>
      <c r="Z48" s="1330"/>
      <c r="AA48" s="1330"/>
      <c r="AB48" s="1330"/>
      <c r="AC48" s="1330"/>
      <c r="AD48" s="1330"/>
      <c r="AE48" s="1330"/>
      <c r="AF48" s="1330"/>
      <c r="AG48" s="1330"/>
      <c r="AH48" s="1330"/>
      <c r="AI48" s="1330"/>
      <c r="AJ48" s="1330"/>
      <c r="AK48" s="1330"/>
      <c r="AL48" s="1330"/>
      <c r="AM48" s="1330"/>
      <c r="AN48" s="1330"/>
      <c r="AO48" s="1330"/>
      <c r="AP48" s="1330"/>
      <c r="AQ48" s="1330"/>
      <c r="AR48" s="1330"/>
      <c r="AS48" s="1330"/>
      <c r="AT48" s="1330"/>
      <c r="AU48" s="20"/>
      <c r="AV48" s="20"/>
      <c r="AW48" s="20"/>
      <c r="AX48" s="20"/>
      <c r="AY48" s="20"/>
      <c r="AZ48" s="20"/>
    </row>
    <row r="49" spans="1:52" ht="13.05" customHeight="1">
      <c r="A49" s="1330"/>
      <c r="B49" s="1330"/>
      <c r="C49" s="1330"/>
      <c r="D49" s="1330"/>
      <c r="E49" s="1330"/>
      <c r="F49" s="1330"/>
      <c r="G49" s="1330"/>
      <c r="H49" s="1330"/>
      <c r="I49" s="1330"/>
      <c r="J49" s="1330"/>
      <c r="K49" s="1330"/>
      <c r="L49" s="1330"/>
      <c r="M49" s="1330"/>
      <c r="N49" s="1330"/>
      <c r="O49" s="1330"/>
      <c r="P49" s="1330"/>
      <c r="Q49" s="1330"/>
      <c r="R49" s="1330"/>
      <c r="S49" s="1330"/>
      <c r="T49" s="1330"/>
      <c r="U49" s="1330"/>
      <c r="V49" s="1330"/>
      <c r="W49" s="1330"/>
      <c r="X49" s="1330"/>
      <c r="Y49" s="1330"/>
      <c r="Z49" s="1330"/>
      <c r="AA49" s="1330"/>
      <c r="AB49" s="1330"/>
      <c r="AC49" s="1330"/>
      <c r="AD49" s="1330"/>
      <c r="AE49" s="1330"/>
      <c r="AF49" s="1330"/>
      <c r="AG49" s="1330"/>
      <c r="AH49" s="1330"/>
      <c r="AI49" s="1330"/>
      <c r="AJ49" s="1330"/>
      <c r="AK49" s="1330"/>
      <c r="AL49" s="1330"/>
      <c r="AM49" s="1330"/>
      <c r="AN49" s="1330"/>
      <c r="AO49" s="1330"/>
      <c r="AP49" s="1330"/>
      <c r="AQ49" s="1330"/>
      <c r="AR49" s="1330"/>
      <c r="AS49" s="1330"/>
      <c r="AT49" s="1330"/>
      <c r="AU49" s="20"/>
      <c r="AV49" s="20"/>
      <c r="AW49" s="20"/>
      <c r="AX49" s="20"/>
      <c r="AY49" s="20"/>
      <c r="AZ49" s="20"/>
    </row>
    <row r="50" spans="1:52" ht="13.0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05" customHeight="1">
      <c r="A51" s="1268" t="s">
        <v>2507</v>
      </c>
      <c r="B51" s="1268"/>
      <c r="C51" s="1268"/>
      <c r="D51" s="1268"/>
      <c r="E51" s="1268"/>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20"/>
      <c r="AV51" s="20"/>
      <c r="AW51" s="20"/>
      <c r="AX51" s="20"/>
      <c r="AY51" s="20"/>
      <c r="AZ51" s="20"/>
    </row>
    <row r="52" spans="1:52" ht="13.05" customHeight="1">
      <c r="A52" s="1268"/>
      <c r="B52" s="1268"/>
      <c r="C52" s="1268"/>
      <c r="D52" s="1268"/>
      <c r="E52" s="1268"/>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20"/>
      <c r="AV52" s="20"/>
      <c r="AW52" s="20"/>
      <c r="AX52" s="20"/>
      <c r="AY52" s="20"/>
      <c r="AZ52" s="20"/>
    </row>
    <row r="53" spans="1:52" ht="13.0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05" customHeight="1">
      <c r="A54" s="1268" t="s">
        <v>2508</v>
      </c>
      <c r="B54" s="1268"/>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268"/>
      <c r="AS54" s="1268"/>
      <c r="AT54" s="1268"/>
      <c r="AU54" s="20"/>
      <c r="AV54" s="20"/>
      <c r="AW54" s="20"/>
      <c r="AX54" s="20"/>
      <c r="AY54" s="20"/>
      <c r="AZ54" s="21"/>
    </row>
    <row r="55" spans="1:52" ht="13.05" customHeight="1">
      <c r="A55" s="1268"/>
      <c r="B55" s="1268"/>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268"/>
      <c r="AS55" s="1268"/>
      <c r="AT55" s="1268"/>
      <c r="AZ55" s="21"/>
    </row>
    <row r="56" spans="1:52" ht="13.05" customHeight="1">
      <c r="A56" s="1268"/>
      <c r="B56" s="1268"/>
      <c r="C56" s="1268"/>
      <c r="D56" s="1268"/>
      <c r="E56" s="1268"/>
      <c r="F56" s="1268"/>
      <c r="G56" s="1268"/>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1268"/>
      <c r="AM56" s="1268"/>
      <c r="AN56" s="1268"/>
      <c r="AO56" s="1268"/>
      <c r="AP56" s="1268"/>
      <c r="AQ56" s="1268"/>
      <c r="AR56" s="1268"/>
      <c r="AS56" s="1268"/>
      <c r="AT56" s="1268"/>
    </row>
    <row r="57" spans="1:52" ht="13.05" customHeight="1">
      <c r="A57" s="1268"/>
      <c r="B57" s="1268"/>
      <c r="C57" s="1268"/>
      <c r="D57" s="1268"/>
      <c r="E57" s="1268"/>
      <c r="F57" s="1268"/>
      <c r="G57" s="1268"/>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268"/>
      <c r="AS57" s="1268"/>
      <c r="AT57" s="1268"/>
    </row>
    <row r="58" spans="1:52" ht="13.05" customHeight="1">
      <c r="A58" s="1268"/>
      <c r="B58" s="1268"/>
      <c r="C58" s="1268"/>
      <c r="D58" s="1268"/>
      <c r="E58" s="1268"/>
      <c r="F58" s="1268"/>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row>
    <row r="59" spans="1:52" ht="13.0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05" customHeight="1">
      <c r="A60" s="1268" t="s">
        <v>2509</v>
      </c>
      <c r="B60" s="1268"/>
      <c r="C60" s="1268"/>
      <c r="D60" s="1268"/>
      <c r="E60" s="1268"/>
      <c r="F60" s="1268"/>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268"/>
      <c r="AS60" s="1268"/>
      <c r="AT60" s="1268"/>
      <c r="AU60" s="20"/>
      <c r="AV60" s="20"/>
      <c r="AW60" s="20"/>
      <c r="AX60" s="20"/>
      <c r="AY60" s="20"/>
      <c r="AZ60" s="20"/>
    </row>
    <row r="61" spans="1:52" ht="13.05" customHeight="1">
      <c r="A61" s="1268"/>
      <c r="B61" s="1268"/>
      <c r="C61" s="1268"/>
      <c r="D61" s="1268"/>
      <c r="E61" s="1268"/>
      <c r="F61" s="1268"/>
      <c r="G61" s="1268"/>
      <c r="H61" s="1268"/>
      <c r="I61" s="1268"/>
      <c r="J61" s="1268"/>
      <c r="K61" s="1268"/>
      <c r="L61" s="1268"/>
      <c r="M61" s="1268"/>
      <c r="N61" s="1268"/>
      <c r="O61" s="1268"/>
      <c r="P61" s="1268"/>
      <c r="Q61" s="1268"/>
      <c r="R61" s="1268"/>
      <c r="S61" s="1268"/>
      <c r="T61" s="1268"/>
      <c r="U61" s="1268"/>
      <c r="V61" s="1268"/>
      <c r="W61" s="1268"/>
      <c r="X61" s="1268"/>
      <c r="Y61" s="1268"/>
      <c r="Z61" s="1268"/>
      <c r="AA61" s="1268"/>
      <c r="AB61" s="1268"/>
      <c r="AC61" s="1268"/>
      <c r="AD61" s="1268"/>
      <c r="AE61" s="1268"/>
      <c r="AF61" s="1268"/>
      <c r="AG61" s="1268"/>
      <c r="AH61" s="1268"/>
      <c r="AI61" s="1268"/>
      <c r="AJ61" s="1268"/>
      <c r="AK61" s="1268"/>
      <c r="AL61" s="1268"/>
      <c r="AM61" s="1268"/>
      <c r="AN61" s="1268"/>
      <c r="AO61" s="1268"/>
      <c r="AP61" s="1268"/>
      <c r="AQ61" s="1268"/>
      <c r="AR61" s="1268"/>
      <c r="AS61" s="1268"/>
      <c r="AT61" s="1268"/>
      <c r="AU61" s="20"/>
      <c r="AV61" s="20"/>
      <c r="AW61" s="20"/>
      <c r="AX61" s="20"/>
      <c r="AY61" s="20"/>
      <c r="AZ61" s="20"/>
    </row>
    <row r="62" spans="1:52" ht="13.0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05" customHeight="1">
      <c r="A63" s="91" t="s">
        <v>2510</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0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05" customHeight="1">
      <c r="A65" s="1431" t="s">
        <v>2511</v>
      </c>
      <c r="B65" s="1431"/>
      <c r="C65" s="1431"/>
      <c r="D65" s="1431"/>
      <c r="E65" s="1431"/>
      <c r="F65" s="1431"/>
      <c r="G65" s="1431"/>
      <c r="H65" s="1431"/>
      <c r="I65" s="1431"/>
      <c r="J65" s="1431"/>
      <c r="K65" s="1431"/>
      <c r="L65" s="1431"/>
      <c r="M65" s="1431"/>
      <c r="N65" s="1431"/>
      <c r="O65" s="1431"/>
      <c r="P65" s="1431"/>
      <c r="Q65" s="1431"/>
      <c r="R65" s="1431"/>
      <c r="S65" s="1431"/>
      <c r="T65" s="1431"/>
      <c r="U65" s="1431"/>
      <c r="V65" s="1431"/>
      <c r="W65" s="1431"/>
      <c r="X65" s="1431"/>
      <c r="Y65" s="1431"/>
      <c r="Z65" s="1431"/>
      <c r="AA65" s="1431"/>
      <c r="AB65" s="1431"/>
      <c r="AC65" s="1431"/>
      <c r="AD65" s="1431"/>
      <c r="AE65" s="1431"/>
      <c r="AF65" s="1431"/>
      <c r="AG65" s="1431"/>
      <c r="AH65" s="1431"/>
      <c r="AI65" s="1431"/>
      <c r="AJ65" s="1431"/>
      <c r="AK65" s="1431"/>
      <c r="AL65" s="1431"/>
      <c r="AM65" s="1431"/>
      <c r="AN65" s="1431"/>
      <c r="AO65" s="1431"/>
      <c r="AP65" s="1431"/>
      <c r="AQ65" s="1431"/>
      <c r="AR65" s="1431"/>
      <c r="AS65" s="1431"/>
      <c r="AT65" s="1431"/>
      <c r="AU65" s="21"/>
      <c r="AV65" s="21"/>
      <c r="AW65" s="21"/>
      <c r="AX65" s="21"/>
      <c r="AY65" s="21"/>
      <c r="AZ65" s="20"/>
    </row>
    <row r="66" spans="1:52" ht="13.05" customHeight="1">
      <c r="A66" s="1431"/>
      <c r="B66" s="1431"/>
      <c r="C66" s="1431"/>
      <c r="D66" s="1431"/>
      <c r="E66" s="1431"/>
      <c r="F66" s="1431"/>
      <c r="G66" s="1431"/>
      <c r="H66" s="1431"/>
      <c r="I66" s="1431"/>
      <c r="J66" s="1431"/>
      <c r="K66" s="1431"/>
      <c r="L66" s="1431"/>
      <c r="M66" s="1431"/>
      <c r="N66" s="1431"/>
      <c r="O66" s="1431"/>
      <c r="P66" s="1431"/>
      <c r="Q66" s="1431"/>
      <c r="R66" s="1431"/>
      <c r="S66" s="1431"/>
      <c r="T66" s="1431"/>
      <c r="U66" s="1431"/>
      <c r="V66" s="1431"/>
      <c r="W66" s="1431"/>
      <c r="X66" s="1431"/>
      <c r="Y66" s="1431"/>
      <c r="Z66" s="1431"/>
      <c r="AA66" s="1431"/>
      <c r="AB66" s="1431"/>
      <c r="AC66" s="1431"/>
      <c r="AD66" s="1431"/>
      <c r="AE66" s="1431"/>
      <c r="AF66" s="1431"/>
      <c r="AG66" s="1431"/>
      <c r="AH66" s="1431"/>
      <c r="AI66" s="1431"/>
      <c r="AJ66" s="1431"/>
      <c r="AK66" s="1431"/>
      <c r="AL66" s="1431"/>
      <c r="AM66" s="1431"/>
      <c r="AN66" s="1431"/>
      <c r="AO66" s="1431"/>
      <c r="AP66" s="1431"/>
      <c r="AQ66" s="1431"/>
      <c r="AR66" s="1431"/>
      <c r="AS66" s="1431"/>
      <c r="AT66" s="1431"/>
      <c r="AU66" s="21"/>
      <c r="AV66" s="21"/>
      <c r="AW66" s="21"/>
      <c r="AX66" s="21"/>
      <c r="AY66" s="21"/>
      <c r="AZ66" s="20"/>
    </row>
    <row r="67" spans="1:52" ht="13.05" customHeight="1">
      <c r="A67" s="1431"/>
      <c r="B67" s="1431"/>
      <c r="C67" s="1431"/>
      <c r="D67" s="1431"/>
      <c r="E67" s="1431"/>
      <c r="F67" s="1431"/>
      <c r="G67" s="1431"/>
      <c r="H67" s="1431"/>
      <c r="I67" s="1431"/>
      <c r="J67" s="1431"/>
      <c r="K67" s="1431"/>
      <c r="L67" s="1431"/>
      <c r="M67" s="1431"/>
      <c r="N67" s="1431"/>
      <c r="O67" s="1431"/>
      <c r="P67" s="1431"/>
      <c r="Q67" s="1431"/>
      <c r="R67" s="1431"/>
      <c r="S67" s="1431"/>
      <c r="T67" s="1431"/>
      <c r="U67" s="1431"/>
      <c r="V67" s="1431"/>
      <c r="W67" s="1431"/>
      <c r="X67" s="1431"/>
      <c r="Y67" s="1431"/>
      <c r="Z67" s="1431"/>
      <c r="AA67" s="1431"/>
      <c r="AB67" s="1431"/>
      <c r="AC67" s="1431"/>
      <c r="AD67" s="1431"/>
      <c r="AE67" s="1431"/>
      <c r="AF67" s="1431"/>
      <c r="AG67" s="1431"/>
      <c r="AH67" s="1431"/>
      <c r="AI67" s="1431"/>
      <c r="AJ67" s="1431"/>
      <c r="AK67" s="1431"/>
      <c r="AL67" s="1431"/>
      <c r="AM67" s="1431"/>
      <c r="AN67" s="1431"/>
      <c r="AO67" s="1431"/>
      <c r="AP67" s="1431"/>
      <c r="AQ67" s="1431"/>
      <c r="AR67" s="1431"/>
      <c r="AS67" s="1431"/>
      <c r="AT67" s="1431"/>
      <c r="AZ67" s="20"/>
    </row>
    <row r="68" spans="1:52" ht="13.0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05" customHeight="1">
      <c r="A69" s="1431" t="s">
        <v>2512</v>
      </c>
      <c r="B69" s="1431"/>
      <c r="C69" s="1431"/>
      <c r="D69" s="1431"/>
      <c r="E69" s="1431"/>
      <c r="F69" s="1431"/>
      <c r="G69" s="1431"/>
      <c r="H69" s="1431"/>
      <c r="I69" s="1431"/>
      <c r="J69" s="1431"/>
      <c r="K69" s="1431"/>
      <c r="L69" s="1431"/>
      <c r="M69" s="1431"/>
      <c r="N69" s="1431"/>
      <c r="O69" s="1431"/>
      <c r="P69" s="1431"/>
      <c r="Q69" s="1431"/>
      <c r="R69" s="1431"/>
      <c r="S69" s="1431"/>
      <c r="T69" s="1431"/>
      <c r="U69" s="1431"/>
      <c r="V69" s="1431"/>
      <c r="W69" s="1431"/>
      <c r="X69" s="1431"/>
      <c r="Y69" s="1431"/>
      <c r="Z69" s="1431"/>
      <c r="AA69" s="1431"/>
      <c r="AB69" s="1431"/>
      <c r="AC69" s="1431"/>
      <c r="AD69" s="1431"/>
      <c r="AE69" s="1431"/>
      <c r="AF69" s="1431"/>
      <c r="AG69" s="1431"/>
      <c r="AH69" s="1431"/>
      <c r="AI69" s="1431"/>
      <c r="AJ69" s="1431"/>
      <c r="AK69" s="1431"/>
      <c r="AL69" s="1431"/>
      <c r="AM69" s="1431"/>
      <c r="AN69" s="1431"/>
      <c r="AO69" s="1431"/>
      <c r="AP69" s="1431"/>
      <c r="AQ69" s="1431"/>
      <c r="AR69" s="1431"/>
      <c r="AS69" s="1431"/>
      <c r="AT69" s="1431"/>
      <c r="AZ69" s="20"/>
    </row>
    <row r="70" spans="1:52" ht="13.05" customHeight="1">
      <c r="A70" s="1431"/>
      <c r="B70" s="1431"/>
      <c r="C70" s="1431"/>
      <c r="D70" s="1431"/>
      <c r="E70" s="1431"/>
      <c r="F70" s="1431"/>
      <c r="G70" s="1431"/>
      <c r="H70" s="1431"/>
      <c r="I70" s="1431"/>
      <c r="J70" s="1431"/>
      <c r="K70" s="1431"/>
      <c r="L70" s="1431"/>
      <c r="M70" s="1431"/>
      <c r="N70" s="1431"/>
      <c r="O70" s="1431"/>
      <c r="P70" s="1431"/>
      <c r="Q70" s="1431"/>
      <c r="R70" s="1431"/>
      <c r="S70" s="1431"/>
      <c r="T70" s="1431"/>
      <c r="U70" s="1431"/>
      <c r="V70" s="1431"/>
      <c r="W70" s="1431"/>
      <c r="X70" s="1431"/>
      <c r="Y70" s="1431"/>
      <c r="Z70" s="1431"/>
      <c r="AA70" s="1431"/>
      <c r="AB70" s="1431"/>
      <c r="AC70" s="1431"/>
      <c r="AD70" s="1431"/>
      <c r="AE70" s="1431"/>
      <c r="AF70" s="1431"/>
      <c r="AG70" s="1431"/>
      <c r="AH70" s="1431"/>
      <c r="AI70" s="1431"/>
      <c r="AJ70" s="1431"/>
      <c r="AK70" s="1431"/>
      <c r="AL70" s="1431"/>
      <c r="AM70" s="1431"/>
      <c r="AN70" s="1431"/>
      <c r="AO70" s="1431"/>
      <c r="AP70" s="1431"/>
      <c r="AQ70" s="1431"/>
      <c r="AR70" s="1431"/>
      <c r="AS70" s="1431"/>
      <c r="AT70" s="1431"/>
      <c r="AU70" s="20"/>
      <c r="AV70" s="20"/>
      <c r="AW70" s="20"/>
      <c r="AX70" s="20"/>
      <c r="AY70" s="20"/>
      <c r="AZ70" s="20"/>
    </row>
    <row r="71" spans="1:52" ht="13.0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05" customHeight="1">
      <c r="A72" s="1429" t="s">
        <v>2513</v>
      </c>
      <c r="B72" s="1429"/>
      <c r="C72" s="1429"/>
      <c r="D72" s="1429"/>
      <c r="E72" s="1429"/>
      <c r="F72" s="1429"/>
      <c r="G72" s="1429"/>
      <c r="H72" s="1429"/>
      <c r="I72" s="1429"/>
      <c r="J72" s="1429"/>
      <c r="K72" s="1429"/>
      <c r="L72" s="1429"/>
      <c r="M72" s="1429"/>
      <c r="N72" s="1429"/>
      <c r="O72" s="1429"/>
      <c r="P72" s="1429"/>
      <c r="Q72" s="1429"/>
      <c r="R72" s="1429"/>
      <c r="S72" s="1429"/>
      <c r="T72" s="1429"/>
      <c r="U72" s="1429"/>
      <c r="V72" s="1429"/>
      <c r="W72" s="1429"/>
      <c r="X72" s="1429"/>
      <c r="Y72" s="1429"/>
      <c r="Z72" s="1429"/>
      <c r="AA72" s="1429"/>
      <c r="AB72" s="1429"/>
      <c r="AC72" s="1429"/>
      <c r="AD72" s="1429"/>
      <c r="AE72" s="1429"/>
      <c r="AF72" s="1429"/>
      <c r="AG72" s="1429"/>
      <c r="AH72" s="1429"/>
      <c r="AI72" s="1429"/>
      <c r="AJ72" s="1429"/>
      <c r="AK72" s="1429"/>
      <c r="AL72" s="1429"/>
      <c r="AM72" s="1429"/>
      <c r="AN72" s="1429"/>
      <c r="AO72" s="1429"/>
      <c r="AP72" s="1429"/>
      <c r="AQ72" s="1429"/>
      <c r="AR72" s="1429"/>
      <c r="AS72" s="1429"/>
      <c r="AT72" s="1429"/>
      <c r="AU72" s="20"/>
      <c r="AV72" s="20"/>
      <c r="AW72" s="20"/>
      <c r="AX72" s="20"/>
      <c r="AY72" s="20"/>
      <c r="AZ72" s="20"/>
    </row>
    <row r="73" spans="1:52" ht="13.05" customHeight="1">
      <c r="A73" s="1429"/>
      <c r="B73" s="1429"/>
      <c r="C73" s="1429"/>
      <c r="D73" s="1429"/>
      <c r="E73" s="1429"/>
      <c r="F73" s="1429"/>
      <c r="G73" s="1429"/>
      <c r="H73" s="1429"/>
      <c r="I73" s="1429"/>
      <c r="J73" s="1429"/>
      <c r="K73" s="1429"/>
      <c r="L73" s="1429"/>
      <c r="M73" s="1429"/>
      <c r="N73" s="1429"/>
      <c r="O73" s="1429"/>
      <c r="P73" s="1429"/>
      <c r="Q73" s="1429"/>
      <c r="R73" s="1429"/>
      <c r="S73" s="1429"/>
      <c r="T73" s="1429"/>
      <c r="U73" s="1429"/>
      <c r="V73" s="1429"/>
      <c r="W73" s="1429"/>
      <c r="X73" s="1429"/>
      <c r="Y73" s="1429"/>
      <c r="Z73" s="1429"/>
      <c r="AA73" s="1429"/>
      <c r="AB73" s="1429"/>
      <c r="AC73" s="1429"/>
      <c r="AD73" s="1429"/>
      <c r="AE73" s="1429"/>
      <c r="AF73" s="1429"/>
      <c r="AG73" s="1429"/>
      <c r="AH73" s="1429"/>
      <c r="AI73" s="1429"/>
      <c r="AJ73" s="1429"/>
      <c r="AK73" s="1429"/>
      <c r="AL73" s="1429"/>
      <c r="AM73" s="1429"/>
      <c r="AN73" s="1429"/>
      <c r="AO73" s="1429"/>
      <c r="AP73" s="1429"/>
      <c r="AQ73" s="1429"/>
      <c r="AR73" s="1429"/>
      <c r="AS73" s="1429"/>
      <c r="AT73" s="1429"/>
      <c r="AU73" s="20"/>
      <c r="AV73" s="20"/>
      <c r="AW73" s="20"/>
      <c r="AX73" s="20"/>
      <c r="AY73" s="20"/>
      <c r="AZ73" s="20"/>
    </row>
    <row r="74" spans="1:52" ht="13.0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05" customHeight="1">
      <c r="A75" s="1845" t="s">
        <v>2514</v>
      </c>
      <c r="B75" s="1845"/>
      <c r="C75" s="1845"/>
      <c r="D75" s="1845"/>
      <c r="E75" s="1845"/>
      <c r="F75" s="1845"/>
      <c r="G75" s="1845"/>
      <c r="H75" s="1845"/>
      <c r="I75" s="1845"/>
      <c r="J75" s="1845"/>
      <c r="K75" s="1845"/>
      <c r="L75" s="1845"/>
      <c r="M75" s="1845"/>
      <c r="N75" s="1845"/>
      <c r="O75" s="1845"/>
      <c r="P75" s="1845"/>
      <c r="Q75" s="1845"/>
      <c r="R75" s="1845"/>
      <c r="S75" s="1845"/>
      <c r="T75" s="1845"/>
      <c r="U75" s="1845"/>
      <c r="V75" s="1845"/>
      <c r="W75" s="1845"/>
      <c r="X75" s="1845"/>
      <c r="Y75" s="1845"/>
      <c r="Z75" s="1845"/>
      <c r="AA75" s="1845"/>
      <c r="AB75" s="1845"/>
      <c r="AC75" s="1845"/>
      <c r="AD75" s="1845"/>
      <c r="AE75" s="1845"/>
      <c r="AF75" s="1845"/>
      <c r="AG75" s="1845"/>
      <c r="AH75" s="1845"/>
      <c r="AI75" s="1845"/>
      <c r="AJ75" s="1845"/>
      <c r="AK75" s="1845"/>
      <c r="AL75" s="1845"/>
      <c r="AM75" s="1845"/>
      <c r="AN75" s="1845"/>
      <c r="AO75" s="1845"/>
      <c r="AP75" s="1845"/>
      <c r="AQ75" s="1845"/>
      <c r="AR75" s="1845"/>
      <c r="AS75" s="1845"/>
      <c r="AT75" s="1845"/>
      <c r="AU75" s="20"/>
      <c r="AV75" s="20"/>
      <c r="AW75" s="20"/>
      <c r="AX75" s="20"/>
      <c r="AY75" s="20"/>
      <c r="AZ75" s="20"/>
    </row>
    <row r="76" spans="1:52" ht="13.05" customHeight="1">
      <c r="A76" s="1845"/>
      <c r="B76" s="1845"/>
      <c r="C76" s="1845"/>
      <c r="D76" s="1845"/>
      <c r="E76" s="1845"/>
      <c r="F76" s="1845"/>
      <c r="G76" s="1845"/>
      <c r="H76" s="1845"/>
      <c r="I76" s="1845"/>
      <c r="J76" s="1845"/>
      <c r="K76" s="1845"/>
      <c r="L76" s="1845"/>
      <c r="M76" s="1845"/>
      <c r="N76" s="1845"/>
      <c r="O76" s="1845"/>
      <c r="P76" s="1845"/>
      <c r="Q76" s="1845"/>
      <c r="R76" s="1845"/>
      <c r="S76" s="1845"/>
      <c r="T76" s="1845"/>
      <c r="U76" s="1845"/>
      <c r="V76" s="1845"/>
      <c r="W76" s="1845"/>
      <c r="X76" s="1845"/>
      <c r="Y76" s="1845"/>
      <c r="Z76" s="1845"/>
      <c r="AA76" s="1845"/>
      <c r="AB76" s="1845"/>
      <c r="AC76" s="1845"/>
      <c r="AD76" s="1845"/>
      <c r="AE76" s="1845"/>
      <c r="AF76" s="1845"/>
      <c r="AG76" s="1845"/>
      <c r="AH76" s="1845"/>
      <c r="AI76" s="1845"/>
      <c r="AJ76" s="1845"/>
      <c r="AK76" s="1845"/>
      <c r="AL76" s="1845"/>
      <c r="AM76" s="1845"/>
      <c r="AN76" s="1845"/>
      <c r="AO76" s="1845"/>
      <c r="AP76" s="1845"/>
      <c r="AQ76" s="1845"/>
      <c r="AR76" s="1845"/>
      <c r="AS76" s="1845"/>
      <c r="AT76" s="1845"/>
      <c r="AU76" s="20"/>
      <c r="AV76" s="20"/>
      <c r="AW76" s="20"/>
      <c r="AX76" s="20"/>
      <c r="AY76" s="20"/>
      <c r="AZ76" s="17"/>
    </row>
    <row r="77" spans="1:52" ht="13.05" customHeight="1">
      <c r="A77" s="1845"/>
      <c r="B77" s="1845"/>
      <c r="C77" s="1845"/>
      <c r="D77" s="1845"/>
      <c r="E77" s="1845"/>
      <c r="F77" s="1845"/>
      <c r="G77" s="1845"/>
      <c r="H77" s="1845"/>
      <c r="I77" s="1845"/>
      <c r="J77" s="1845"/>
      <c r="K77" s="1845"/>
      <c r="L77" s="1845"/>
      <c r="M77" s="1845"/>
      <c r="N77" s="1845"/>
      <c r="O77" s="1845"/>
      <c r="P77" s="1845"/>
      <c r="Q77" s="1845"/>
      <c r="R77" s="1845"/>
      <c r="S77" s="1845"/>
      <c r="T77" s="1845"/>
      <c r="U77" s="1845"/>
      <c r="V77" s="1845"/>
      <c r="W77" s="1845"/>
      <c r="X77" s="1845"/>
      <c r="Y77" s="1845"/>
      <c r="Z77" s="1845"/>
      <c r="AA77" s="1845"/>
      <c r="AB77" s="1845"/>
      <c r="AC77" s="1845"/>
      <c r="AD77" s="1845"/>
      <c r="AE77" s="1845"/>
      <c r="AF77" s="1845"/>
      <c r="AG77" s="1845"/>
      <c r="AH77" s="1845"/>
      <c r="AI77" s="1845"/>
      <c r="AJ77" s="1845"/>
      <c r="AK77" s="1845"/>
      <c r="AL77" s="1845"/>
      <c r="AM77" s="1845"/>
      <c r="AN77" s="1845"/>
      <c r="AO77" s="1845"/>
      <c r="AP77" s="1845"/>
      <c r="AQ77" s="1845"/>
      <c r="AR77" s="1845"/>
      <c r="AS77" s="1845"/>
      <c r="AT77" s="1845"/>
      <c r="AU77" s="20"/>
      <c r="AV77" s="20"/>
      <c r="AW77" s="20"/>
      <c r="AX77" s="20"/>
      <c r="AY77" s="20"/>
      <c r="AZ77" s="17"/>
    </row>
    <row r="78" spans="1:52" ht="13.0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05" customHeight="1">
      <c r="A79" s="1431" t="s">
        <v>2515</v>
      </c>
      <c r="B79" s="1431"/>
      <c r="C79" s="1431"/>
      <c r="D79" s="1431"/>
      <c r="E79" s="1431"/>
      <c r="F79" s="1431"/>
      <c r="G79" s="1431"/>
      <c r="H79" s="1431"/>
      <c r="I79" s="1431"/>
      <c r="J79" s="1431"/>
      <c r="K79" s="1431"/>
      <c r="L79" s="1431"/>
      <c r="M79" s="1431"/>
      <c r="N79" s="1431"/>
      <c r="O79" s="1431"/>
      <c r="P79" s="1431"/>
      <c r="Q79" s="1431"/>
      <c r="R79" s="1431"/>
      <c r="S79" s="1431"/>
      <c r="T79" s="1431"/>
      <c r="U79" s="1431"/>
      <c r="V79" s="1431"/>
      <c r="W79" s="1431"/>
      <c r="X79" s="1431"/>
      <c r="Y79" s="1431"/>
      <c r="Z79" s="1431"/>
      <c r="AA79" s="1431"/>
      <c r="AB79" s="1431"/>
      <c r="AC79" s="1431"/>
      <c r="AD79" s="1431"/>
      <c r="AE79" s="1431"/>
      <c r="AF79" s="1431"/>
      <c r="AG79" s="1431"/>
      <c r="AH79" s="1431"/>
      <c r="AI79" s="1431"/>
      <c r="AJ79" s="1431"/>
      <c r="AK79" s="1431"/>
      <c r="AL79" s="1431"/>
      <c r="AM79" s="1431"/>
      <c r="AN79" s="1431"/>
      <c r="AO79" s="1431"/>
      <c r="AP79" s="1431"/>
      <c r="AQ79" s="1431"/>
      <c r="AR79" s="1431"/>
      <c r="AS79" s="1431"/>
      <c r="AT79" s="1431"/>
      <c r="AU79" s="20"/>
      <c r="AV79" s="20"/>
      <c r="AW79" s="20"/>
      <c r="AX79" s="20"/>
      <c r="AY79" s="20"/>
      <c r="AZ79" s="20"/>
    </row>
    <row r="80" spans="1:52" ht="13.05" customHeight="1">
      <c r="A80" s="1431"/>
      <c r="B80" s="1431"/>
      <c r="C80" s="1431"/>
      <c r="D80" s="1431"/>
      <c r="E80" s="1431"/>
      <c r="F80" s="1431"/>
      <c r="G80" s="1431"/>
      <c r="H80" s="1431"/>
      <c r="I80" s="1431"/>
      <c r="J80" s="1431"/>
      <c r="K80" s="1431"/>
      <c r="L80" s="1431"/>
      <c r="M80" s="1431"/>
      <c r="N80" s="1431"/>
      <c r="O80" s="1431"/>
      <c r="P80" s="1431"/>
      <c r="Q80" s="1431"/>
      <c r="R80" s="1431"/>
      <c r="S80" s="1431"/>
      <c r="T80" s="1431"/>
      <c r="U80" s="1431"/>
      <c r="V80" s="1431"/>
      <c r="W80" s="1431"/>
      <c r="X80" s="1431"/>
      <c r="Y80" s="1431"/>
      <c r="Z80" s="1431"/>
      <c r="AA80" s="1431"/>
      <c r="AB80" s="1431"/>
      <c r="AC80" s="1431"/>
      <c r="AD80" s="1431"/>
      <c r="AE80" s="1431"/>
      <c r="AF80" s="1431"/>
      <c r="AG80" s="1431"/>
      <c r="AH80" s="1431"/>
      <c r="AI80" s="1431"/>
      <c r="AJ80" s="1431"/>
      <c r="AK80" s="1431"/>
      <c r="AL80" s="1431"/>
      <c r="AM80" s="1431"/>
      <c r="AN80" s="1431"/>
      <c r="AO80" s="1431"/>
      <c r="AP80" s="1431"/>
      <c r="AQ80" s="1431"/>
      <c r="AR80" s="1431"/>
      <c r="AS80" s="1431"/>
      <c r="AT80" s="1431"/>
      <c r="AU80" s="20"/>
      <c r="AV80" s="20"/>
      <c r="AW80" s="20"/>
      <c r="AX80" s="20"/>
      <c r="AY80" s="20"/>
      <c r="AZ80" s="20"/>
    </row>
    <row r="81" spans="1:52" ht="13.05" customHeight="1">
      <c r="A81" s="1431"/>
      <c r="B81" s="1431"/>
      <c r="C81" s="1431"/>
      <c r="D81" s="1431"/>
      <c r="E81" s="1431"/>
      <c r="F81" s="1431"/>
      <c r="G81" s="1431"/>
      <c r="H81" s="1431"/>
      <c r="I81" s="1431"/>
      <c r="J81" s="1431"/>
      <c r="K81" s="1431"/>
      <c r="L81" s="1431"/>
      <c r="M81" s="1431"/>
      <c r="N81" s="1431"/>
      <c r="O81" s="1431"/>
      <c r="P81" s="1431"/>
      <c r="Q81" s="1431"/>
      <c r="R81" s="1431"/>
      <c r="S81" s="1431"/>
      <c r="T81" s="1431"/>
      <c r="U81" s="1431"/>
      <c r="V81" s="1431"/>
      <c r="W81" s="1431"/>
      <c r="X81" s="1431"/>
      <c r="Y81" s="1431"/>
      <c r="Z81" s="1431"/>
      <c r="AA81" s="1431"/>
      <c r="AB81" s="1431"/>
      <c r="AC81" s="1431"/>
      <c r="AD81" s="1431"/>
      <c r="AE81" s="1431"/>
      <c r="AF81" s="1431"/>
      <c r="AG81" s="1431"/>
      <c r="AH81" s="1431"/>
      <c r="AI81" s="1431"/>
      <c r="AJ81" s="1431"/>
      <c r="AK81" s="1431"/>
      <c r="AL81" s="1431"/>
      <c r="AM81" s="1431"/>
      <c r="AN81" s="1431"/>
      <c r="AO81" s="1431"/>
      <c r="AP81" s="1431"/>
      <c r="AQ81" s="1431"/>
      <c r="AR81" s="1431"/>
      <c r="AS81" s="1431"/>
      <c r="AT81" s="1431"/>
      <c r="AU81" s="20"/>
      <c r="AV81" s="20"/>
      <c r="AW81" s="20"/>
      <c r="AX81" s="20"/>
      <c r="AY81" s="20"/>
      <c r="AZ81" s="20"/>
    </row>
    <row r="82" spans="1:52" ht="13.0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05" customHeight="1">
      <c r="A83" s="1268" t="s">
        <v>2516</v>
      </c>
      <c r="B83" s="1268"/>
      <c r="C83" s="1268"/>
      <c r="D83" s="1268"/>
      <c r="E83" s="1268"/>
      <c r="F83" s="1268"/>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20"/>
      <c r="AV83" s="20"/>
      <c r="AW83" s="20"/>
      <c r="AX83" s="20"/>
      <c r="AY83" s="20"/>
      <c r="AZ83" s="20"/>
    </row>
    <row r="84" spans="1:52" ht="13.05" customHeight="1">
      <c r="A84" s="1268"/>
      <c r="B84" s="1268"/>
      <c r="C84" s="1268"/>
      <c r="D84" s="1268"/>
      <c r="E84" s="1268"/>
      <c r="F84" s="1268"/>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c r="AL84" s="1268"/>
      <c r="AM84" s="1268"/>
      <c r="AN84" s="1268"/>
      <c r="AO84" s="1268"/>
      <c r="AP84" s="1268"/>
      <c r="AQ84" s="1268"/>
      <c r="AR84" s="1268"/>
      <c r="AS84" s="1268"/>
      <c r="AT84" s="1268"/>
      <c r="AU84" s="20"/>
      <c r="AV84" s="20"/>
      <c r="AW84" s="20"/>
      <c r="AX84" s="20"/>
      <c r="AY84" s="20"/>
      <c r="AZ84" s="20"/>
    </row>
    <row r="85" spans="1:52" ht="13.0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05" customHeight="1">
      <c r="A86" s="1268" t="s">
        <v>2517</v>
      </c>
      <c r="B86" s="1268"/>
      <c r="C86" s="1268"/>
      <c r="D86" s="1268"/>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268"/>
      <c r="AS86" s="1268"/>
      <c r="AT86" s="1268"/>
      <c r="AU86" s="20"/>
      <c r="AV86" s="20"/>
      <c r="AW86" s="20"/>
      <c r="AX86" s="20"/>
      <c r="AY86" s="20"/>
      <c r="AZ86" s="20"/>
    </row>
    <row r="87" spans="1:52" ht="13.05" customHeight="1">
      <c r="A87" s="1268"/>
      <c r="B87" s="1268"/>
      <c r="C87" s="1268"/>
      <c r="D87" s="1268"/>
      <c r="E87" s="1268"/>
      <c r="F87" s="1268"/>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268"/>
      <c r="AS87" s="1268"/>
      <c r="AT87" s="1268"/>
      <c r="AU87" s="20"/>
      <c r="AV87" s="20"/>
      <c r="AW87" s="20"/>
      <c r="AX87" s="20"/>
      <c r="AY87" s="20"/>
      <c r="AZ87" s="20"/>
    </row>
    <row r="88" spans="1:52" ht="13.0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05" customHeight="1">
      <c r="A89" s="1844" t="s">
        <v>2518</v>
      </c>
      <c r="B89" s="1844"/>
      <c r="C89" s="1844"/>
      <c r="D89" s="1844"/>
      <c r="E89" s="1844"/>
      <c r="F89" s="1844"/>
      <c r="G89" s="1844"/>
      <c r="H89" s="1844"/>
      <c r="I89" s="1844"/>
      <c r="J89" s="1844"/>
      <c r="K89" s="1844"/>
      <c r="L89" s="1844"/>
      <c r="M89" s="1844"/>
      <c r="N89" s="1844"/>
      <c r="O89" s="1844"/>
      <c r="P89" s="1844"/>
      <c r="Q89" s="1844"/>
      <c r="R89" s="1844"/>
      <c r="S89" s="1844"/>
      <c r="T89" s="1844"/>
      <c r="U89" s="1844"/>
      <c r="V89" s="1844"/>
      <c r="W89" s="1844"/>
      <c r="X89" s="1844"/>
      <c r="Y89" s="1844"/>
      <c r="Z89" s="1844"/>
      <c r="AA89" s="1844"/>
      <c r="AB89" s="1844"/>
      <c r="AC89" s="1844"/>
      <c r="AD89" s="1844"/>
      <c r="AE89" s="1844"/>
      <c r="AF89" s="1844"/>
      <c r="AG89" s="1844"/>
      <c r="AH89" s="1844"/>
      <c r="AI89" s="1844"/>
      <c r="AJ89" s="1844"/>
      <c r="AK89" s="1844"/>
      <c r="AL89" s="1844"/>
      <c r="AM89" s="1844"/>
      <c r="AN89" s="1844"/>
      <c r="AO89" s="1844"/>
      <c r="AP89" s="1844"/>
      <c r="AQ89" s="1844"/>
      <c r="AR89" s="1844"/>
      <c r="AS89" s="1844"/>
      <c r="AT89" s="1844"/>
      <c r="AU89" s="17"/>
      <c r="AV89" s="17"/>
      <c r="AW89" s="17"/>
      <c r="AX89" s="17"/>
      <c r="AY89" s="17"/>
      <c r="AZ89" s="20"/>
    </row>
    <row r="90" spans="1:52" ht="13.05" customHeight="1">
      <c r="A90" s="1844"/>
      <c r="B90" s="1844"/>
      <c r="C90" s="1844"/>
      <c r="D90" s="1844"/>
      <c r="E90" s="1844"/>
      <c r="F90" s="1844"/>
      <c r="G90" s="1844"/>
      <c r="H90" s="1844"/>
      <c r="I90" s="1844"/>
      <c r="J90" s="1844"/>
      <c r="K90" s="1844"/>
      <c r="L90" s="1844"/>
      <c r="M90" s="1844"/>
      <c r="N90" s="1844"/>
      <c r="O90" s="1844"/>
      <c r="P90" s="1844"/>
      <c r="Q90" s="1844"/>
      <c r="R90" s="1844"/>
      <c r="S90" s="1844"/>
      <c r="T90" s="1844"/>
      <c r="U90" s="1844"/>
      <c r="V90" s="1844"/>
      <c r="W90" s="1844"/>
      <c r="X90" s="1844"/>
      <c r="Y90" s="1844"/>
      <c r="Z90" s="1844"/>
      <c r="AA90" s="1844"/>
      <c r="AB90" s="1844"/>
      <c r="AC90" s="1844"/>
      <c r="AD90" s="1844"/>
      <c r="AE90" s="1844"/>
      <c r="AF90" s="1844"/>
      <c r="AG90" s="1844"/>
      <c r="AH90" s="1844"/>
      <c r="AI90" s="1844"/>
      <c r="AJ90" s="1844"/>
      <c r="AK90" s="1844"/>
      <c r="AL90" s="1844"/>
      <c r="AM90" s="1844"/>
      <c r="AN90" s="1844"/>
      <c r="AO90" s="1844"/>
      <c r="AP90" s="1844"/>
      <c r="AQ90" s="1844"/>
      <c r="AR90" s="1844"/>
      <c r="AS90" s="1844"/>
      <c r="AT90" s="1844"/>
      <c r="AU90" s="17"/>
      <c r="AV90" s="17"/>
      <c r="AW90" s="17"/>
      <c r="AX90" s="17"/>
      <c r="AY90" s="17"/>
      <c r="AZ90" s="20"/>
    </row>
    <row r="91" spans="1:52" ht="13.0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05" customHeight="1">
      <c r="A92" s="1845" t="s">
        <v>2519</v>
      </c>
      <c r="B92" s="1845"/>
      <c r="C92" s="1845"/>
      <c r="D92" s="1845"/>
      <c r="E92" s="1845"/>
      <c r="F92" s="1845"/>
      <c r="G92" s="1845"/>
      <c r="H92" s="1845"/>
      <c r="I92" s="1845"/>
      <c r="J92" s="1845"/>
      <c r="K92" s="1845"/>
      <c r="L92" s="1845"/>
      <c r="M92" s="1845"/>
      <c r="N92" s="1845"/>
      <c r="O92" s="1845"/>
      <c r="P92" s="1845"/>
      <c r="Q92" s="1845"/>
      <c r="R92" s="1845"/>
      <c r="S92" s="1845"/>
      <c r="T92" s="1845"/>
      <c r="U92" s="1845"/>
      <c r="V92" s="1845"/>
      <c r="W92" s="1845"/>
      <c r="X92" s="1845"/>
      <c r="Y92" s="1845"/>
      <c r="Z92" s="1845"/>
      <c r="AA92" s="1845"/>
      <c r="AB92" s="1845"/>
      <c r="AC92" s="1845"/>
      <c r="AD92" s="1845"/>
      <c r="AE92" s="1845"/>
      <c r="AF92" s="1845"/>
      <c r="AG92" s="1845"/>
      <c r="AH92" s="1845"/>
      <c r="AI92" s="1845"/>
      <c r="AJ92" s="1845"/>
      <c r="AK92" s="1845"/>
      <c r="AL92" s="1845"/>
      <c r="AM92" s="1845"/>
      <c r="AN92" s="1845"/>
      <c r="AO92" s="1845"/>
      <c r="AP92" s="1845"/>
      <c r="AQ92" s="1845"/>
      <c r="AR92" s="1845"/>
      <c r="AS92" s="1845"/>
      <c r="AT92" s="1845"/>
      <c r="AU92" s="20"/>
      <c r="AV92" s="20"/>
      <c r="AW92" s="20"/>
      <c r="AX92" s="20"/>
      <c r="AY92" s="20"/>
      <c r="AZ92" s="20"/>
    </row>
    <row r="93" spans="1:52" ht="13.05" customHeight="1">
      <c r="A93" s="1845"/>
      <c r="B93" s="1845"/>
      <c r="C93" s="1845"/>
      <c r="D93" s="1845"/>
      <c r="E93" s="1845"/>
      <c r="F93" s="1845"/>
      <c r="G93" s="1845"/>
      <c r="H93" s="1845"/>
      <c r="I93" s="1845"/>
      <c r="J93" s="1845"/>
      <c r="K93" s="1845"/>
      <c r="L93" s="1845"/>
      <c r="M93" s="1845"/>
      <c r="N93" s="1845"/>
      <c r="O93" s="1845"/>
      <c r="P93" s="1845"/>
      <c r="Q93" s="1845"/>
      <c r="R93" s="1845"/>
      <c r="S93" s="1845"/>
      <c r="T93" s="1845"/>
      <c r="U93" s="1845"/>
      <c r="V93" s="1845"/>
      <c r="W93" s="1845"/>
      <c r="X93" s="1845"/>
      <c r="Y93" s="1845"/>
      <c r="Z93" s="1845"/>
      <c r="AA93" s="1845"/>
      <c r="AB93" s="1845"/>
      <c r="AC93" s="1845"/>
      <c r="AD93" s="1845"/>
      <c r="AE93" s="1845"/>
      <c r="AF93" s="1845"/>
      <c r="AG93" s="1845"/>
      <c r="AH93" s="1845"/>
      <c r="AI93" s="1845"/>
      <c r="AJ93" s="1845"/>
      <c r="AK93" s="1845"/>
      <c r="AL93" s="1845"/>
      <c r="AM93" s="1845"/>
      <c r="AN93" s="1845"/>
      <c r="AO93" s="1845"/>
      <c r="AP93" s="1845"/>
      <c r="AQ93" s="1845"/>
      <c r="AR93" s="1845"/>
      <c r="AS93" s="1845"/>
      <c r="AT93" s="1845"/>
      <c r="AU93" s="20"/>
      <c r="AV93" s="20"/>
      <c r="AW93" s="20"/>
      <c r="AX93" s="20"/>
      <c r="AY93" s="20"/>
      <c r="AZ93" s="20"/>
    </row>
    <row r="94" spans="1:52" ht="13.05" customHeight="1">
      <c r="A94" s="1845"/>
      <c r="B94" s="1845"/>
      <c r="C94" s="1845"/>
      <c r="D94" s="1845"/>
      <c r="E94" s="1845"/>
      <c r="F94" s="1845"/>
      <c r="G94" s="1845"/>
      <c r="H94" s="1845"/>
      <c r="I94" s="1845"/>
      <c r="J94" s="1845"/>
      <c r="K94" s="1845"/>
      <c r="L94" s="1845"/>
      <c r="M94" s="1845"/>
      <c r="N94" s="1845"/>
      <c r="O94" s="1845"/>
      <c r="P94" s="1845"/>
      <c r="Q94" s="1845"/>
      <c r="R94" s="1845"/>
      <c r="S94" s="1845"/>
      <c r="T94" s="1845"/>
      <c r="U94" s="1845"/>
      <c r="V94" s="1845"/>
      <c r="W94" s="1845"/>
      <c r="X94" s="1845"/>
      <c r="Y94" s="1845"/>
      <c r="Z94" s="1845"/>
      <c r="AA94" s="1845"/>
      <c r="AB94" s="1845"/>
      <c r="AC94" s="1845"/>
      <c r="AD94" s="1845"/>
      <c r="AE94" s="1845"/>
      <c r="AF94" s="1845"/>
      <c r="AG94" s="1845"/>
      <c r="AH94" s="1845"/>
      <c r="AI94" s="1845"/>
      <c r="AJ94" s="1845"/>
      <c r="AK94" s="1845"/>
      <c r="AL94" s="1845"/>
      <c r="AM94" s="1845"/>
      <c r="AN94" s="1845"/>
      <c r="AO94" s="1845"/>
      <c r="AP94" s="1845"/>
      <c r="AQ94" s="1845"/>
      <c r="AR94" s="1845"/>
      <c r="AS94" s="1845"/>
      <c r="AT94" s="1845"/>
      <c r="AU94" s="20"/>
      <c r="AV94" s="20"/>
      <c r="AW94" s="20"/>
      <c r="AX94" s="20"/>
      <c r="AY94" s="20"/>
      <c r="AZ94" s="20"/>
    </row>
    <row r="95" spans="1:52" ht="13.05" customHeight="1">
      <c r="A95" s="1845"/>
      <c r="B95" s="1845"/>
      <c r="C95" s="1845"/>
      <c r="D95" s="1845"/>
      <c r="E95" s="1845"/>
      <c r="F95" s="1845"/>
      <c r="G95" s="1845"/>
      <c r="H95" s="1845"/>
      <c r="I95" s="1845"/>
      <c r="J95" s="1845"/>
      <c r="K95" s="1845"/>
      <c r="L95" s="1845"/>
      <c r="M95" s="1845"/>
      <c r="N95" s="1845"/>
      <c r="O95" s="1845"/>
      <c r="P95" s="1845"/>
      <c r="Q95" s="1845"/>
      <c r="R95" s="1845"/>
      <c r="S95" s="1845"/>
      <c r="T95" s="1845"/>
      <c r="U95" s="1845"/>
      <c r="V95" s="1845"/>
      <c r="W95" s="1845"/>
      <c r="X95" s="1845"/>
      <c r="Y95" s="1845"/>
      <c r="Z95" s="1845"/>
      <c r="AA95" s="1845"/>
      <c r="AB95" s="1845"/>
      <c r="AC95" s="1845"/>
      <c r="AD95" s="1845"/>
      <c r="AE95" s="1845"/>
      <c r="AF95" s="1845"/>
      <c r="AG95" s="1845"/>
      <c r="AH95" s="1845"/>
      <c r="AI95" s="1845"/>
      <c r="AJ95" s="1845"/>
      <c r="AK95" s="1845"/>
      <c r="AL95" s="1845"/>
      <c r="AM95" s="1845"/>
      <c r="AN95" s="1845"/>
      <c r="AO95" s="1845"/>
      <c r="AP95" s="1845"/>
      <c r="AQ95" s="1845"/>
      <c r="AR95" s="1845"/>
      <c r="AS95" s="1845"/>
      <c r="AT95" s="1845"/>
      <c r="AU95" s="20"/>
      <c r="AV95" s="20"/>
      <c r="AW95" s="20"/>
      <c r="AX95" s="20"/>
      <c r="AY95" s="20"/>
      <c r="AZ95" s="20"/>
    </row>
    <row r="96" spans="1:52" ht="13.05" customHeight="1">
      <c r="A96" s="1845"/>
      <c r="B96" s="1845"/>
      <c r="C96" s="1845"/>
      <c r="D96" s="1845"/>
      <c r="E96" s="1845"/>
      <c r="F96" s="1845"/>
      <c r="G96" s="1845"/>
      <c r="H96" s="1845"/>
      <c r="I96" s="1845"/>
      <c r="J96" s="1845"/>
      <c r="K96" s="1845"/>
      <c r="L96" s="1845"/>
      <c r="M96" s="1845"/>
      <c r="N96" s="1845"/>
      <c r="O96" s="1845"/>
      <c r="P96" s="1845"/>
      <c r="Q96" s="1845"/>
      <c r="R96" s="1845"/>
      <c r="S96" s="1845"/>
      <c r="T96" s="1845"/>
      <c r="U96" s="1845"/>
      <c r="V96" s="1845"/>
      <c r="W96" s="1845"/>
      <c r="X96" s="1845"/>
      <c r="Y96" s="1845"/>
      <c r="Z96" s="1845"/>
      <c r="AA96" s="1845"/>
      <c r="AB96" s="1845"/>
      <c r="AC96" s="1845"/>
      <c r="AD96" s="1845"/>
      <c r="AE96" s="1845"/>
      <c r="AF96" s="1845"/>
      <c r="AG96" s="1845"/>
      <c r="AH96" s="1845"/>
      <c r="AI96" s="1845"/>
      <c r="AJ96" s="1845"/>
      <c r="AK96" s="1845"/>
      <c r="AL96" s="1845"/>
      <c r="AM96" s="1845"/>
      <c r="AN96" s="1845"/>
      <c r="AO96" s="1845"/>
      <c r="AP96" s="1845"/>
      <c r="AQ96" s="1845"/>
      <c r="AR96" s="1845"/>
      <c r="AS96" s="1845"/>
      <c r="AT96" s="1845"/>
      <c r="AU96" s="20"/>
      <c r="AV96" s="20"/>
      <c r="AW96" s="20"/>
      <c r="AX96" s="20"/>
      <c r="AY96" s="20"/>
      <c r="AZ96" s="20"/>
    </row>
    <row r="97" spans="1:52" ht="13.05" customHeight="1">
      <c r="A97" s="1845"/>
      <c r="B97" s="1845"/>
      <c r="C97" s="1845"/>
      <c r="D97" s="1845"/>
      <c r="E97" s="1845"/>
      <c r="F97" s="1845"/>
      <c r="G97" s="1845"/>
      <c r="H97" s="1845"/>
      <c r="I97" s="1845"/>
      <c r="J97" s="1845"/>
      <c r="K97" s="1845"/>
      <c r="L97" s="1845"/>
      <c r="M97" s="1845"/>
      <c r="N97" s="1845"/>
      <c r="O97" s="1845"/>
      <c r="P97" s="1845"/>
      <c r="Q97" s="1845"/>
      <c r="R97" s="1845"/>
      <c r="S97" s="1845"/>
      <c r="T97" s="1845"/>
      <c r="U97" s="1845"/>
      <c r="V97" s="1845"/>
      <c r="W97" s="1845"/>
      <c r="X97" s="1845"/>
      <c r="Y97" s="1845"/>
      <c r="Z97" s="1845"/>
      <c r="AA97" s="1845"/>
      <c r="AB97" s="1845"/>
      <c r="AC97" s="1845"/>
      <c r="AD97" s="1845"/>
      <c r="AE97" s="1845"/>
      <c r="AF97" s="1845"/>
      <c r="AG97" s="1845"/>
      <c r="AH97" s="1845"/>
      <c r="AI97" s="1845"/>
      <c r="AJ97" s="1845"/>
      <c r="AK97" s="1845"/>
      <c r="AL97" s="1845"/>
      <c r="AM97" s="1845"/>
      <c r="AN97" s="1845"/>
      <c r="AO97" s="1845"/>
      <c r="AP97" s="1845"/>
      <c r="AQ97" s="1845"/>
      <c r="AR97" s="1845"/>
      <c r="AS97" s="1845"/>
      <c r="AT97" s="1845"/>
      <c r="AU97" s="20"/>
      <c r="AV97" s="20"/>
      <c r="AW97" s="20"/>
      <c r="AX97" s="20"/>
      <c r="AY97" s="20"/>
      <c r="AZ97" s="20"/>
    </row>
    <row r="98" spans="1:52" ht="13.05" customHeight="1">
      <c r="A98" s="1845"/>
      <c r="B98" s="1845"/>
      <c r="C98" s="1845"/>
      <c r="D98" s="1845"/>
      <c r="E98" s="1845"/>
      <c r="F98" s="1845"/>
      <c r="G98" s="1845"/>
      <c r="H98" s="1845"/>
      <c r="I98" s="1845"/>
      <c r="J98" s="1845"/>
      <c r="K98" s="1845"/>
      <c r="L98" s="1845"/>
      <c r="M98" s="1845"/>
      <c r="N98" s="1845"/>
      <c r="O98" s="1845"/>
      <c r="P98" s="1845"/>
      <c r="Q98" s="1845"/>
      <c r="R98" s="1845"/>
      <c r="S98" s="1845"/>
      <c r="T98" s="1845"/>
      <c r="U98" s="1845"/>
      <c r="V98" s="1845"/>
      <c r="W98" s="1845"/>
      <c r="X98" s="1845"/>
      <c r="Y98" s="1845"/>
      <c r="Z98" s="1845"/>
      <c r="AA98" s="1845"/>
      <c r="AB98" s="1845"/>
      <c r="AC98" s="1845"/>
      <c r="AD98" s="1845"/>
      <c r="AE98" s="1845"/>
      <c r="AF98" s="1845"/>
      <c r="AG98" s="1845"/>
      <c r="AH98" s="1845"/>
      <c r="AI98" s="1845"/>
      <c r="AJ98" s="1845"/>
      <c r="AK98" s="1845"/>
      <c r="AL98" s="1845"/>
      <c r="AM98" s="1845"/>
      <c r="AN98" s="1845"/>
      <c r="AO98" s="1845"/>
      <c r="AP98" s="1845"/>
      <c r="AQ98" s="1845"/>
      <c r="AR98" s="1845"/>
      <c r="AS98" s="1845"/>
      <c r="AT98" s="1845"/>
      <c r="AU98" s="20"/>
      <c r="AV98" s="20"/>
      <c r="AW98" s="20"/>
      <c r="AX98" s="20"/>
      <c r="AY98" s="20"/>
      <c r="AZ98" s="20"/>
    </row>
    <row r="99" spans="1:52" ht="13.0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05" customHeight="1">
      <c r="A100" s="1299" t="s">
        <v>2520</v>
      </c>
      <c r="B100" s="1299"/>
      <c r="C100" s="1299"/>
      <c r="D100" s="1299"/>
      <c r="E100" s="1299"/>
      <c r="F100" s="129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1299"/>
      <c r="AB100" s="1299"/>
      <c r="AC100" s="1299"/>
      <c r="AD100" s="1299"/>
      <c r="AE100" s="1299"/>
      <c r="AF100" s="1299"/>
      <c r="AG100" s="1299"/>
      <c r="AH100" s="1299"/>
      <c r="AI100" s="1299"/>
      <c r="AJ100" s="1299"/>
      <c r="AK100" s="1299"/>
      <c r="AL100" s="1299"/>
      <c r="AM100" s="1299"/>
      <c r="AN100" s="1299"/>
      <c r="AO100" s="1299"/>
      <c r="AP100" s="1299"/>
      <c r="AQ100" s="1299"/>
      <c r="AR100" s="1299"/>
      <c r="AS100" s="1299"/>
      <c r="AT100" s="1299"/>
      <c r="AU100" s="20"/>
      <c r="AV100" s="20"/>
      <c r="AW100" s="20"/>
      <c r="AX100" s="20"/>
      <c r="AY100" s="20"/>
      <c r="AZ100" s="20"/>
    </row>
    <row r="101" spans="1:52" ht="13.05" customHeight="1">
      <c r="A101" s="1299"/>
      <c r="B101" s="1299"/>
      <c r="C101" s="1299"/>
      <c r="D101" s="1299"/>
      <c r="E101" s="1299"/>
      <c r="F101" s="129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1299"/>
      <c r="AB101" s="1299"/>
      <c r="AC101" s="1299"/>
      <c r="AD101" s="1299"/>
      <c r="AE101" s="1299"/>
      <c r="AF101" s="1299"/>
      <c r="AG101" s="1299"/>
      <c r="AH101" s="1299"/>
      <c r="AI101" s="1299"/>
      <c r="AJ101" s="1299"/>
      <c r="AK101" s="1299"/>
      <c r="AL101" s="1299"/>
      <c r="AM101" s="1299"/>
      <c r="AN101" s="1299"/>
      <c r="AO101" s="1299"/>
      <c r="AP101" s="1299"/>
      <c r="AQ101" s="1299"/>
      <c r="AR101" s="1299"/>
      <c r="AS101" s="1299"/>
      <c r="AT101" s="1299"/>
      <c r="AU101" s="20"/>
      <c r="AV101" s="20"/>
      <c r="AW101" s="20"/>
      <c r="AX101" s="20"/>
      <c r="AY101" s="20"/>
      <c r="AZ101" s="20"/>
    </row>
    <row r="102" spans="1:52" ht="13.05" customHeight="1">
      <c r="A102" s="1299"/>
      <c r="B102" s="1299"/>
      <c r="C102" s="1299"/>
      <c r="D102" s="1299"/>
      <c r="E102" s="1299"/>
      <c r="F102" s="129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1299"/>
      <c r="AB102" s="1299"/>
      <c r="AC102" s="1299"/>
      <c r="AD102" s="1299"/>
      <c r="AE102" s="1299"/>
      <c r="AF102" s="1299"/>
      <c r="AG102" s="1299"/>
      <c r="AH102" s="1299"/>
      <c r="AI102" s="1299"/>
      <c r="AJ102" s="1299"/>
      <c r="AK102" s="1299"/>
      <c r="AL102" s="1299"/>
      <c r="AM102" s="1299"/>
      <c r="AN102" s="1299"/>
      <c r="AO102" s="1299"/>
      <c r="AP102" s="1299"/>
      <c r="AQ102" s="1299"/>
      <c r="AR102" s="1299"/>
      <c r="AS102" s="1299"/>
      <c r="AT102" s="1299"/>
      <c r="AU102" s="20"/>
      <c r="AV102" s="20"/>
      <c r="AW102" s="20"/>
      <c r="AX102" s="20"/>
      <c r="AY102" s="20"/>
      <c r="AZ102" s="20"/>
    </row>
    <row r="103" spans="1:52" ht="13.05" customHeight="1">
      <c r="A103" s="1299"/>
      <c r="B103" s="1299"/>
      <c r="C103" s="1299"/>
      <c r="D103" s="1299"/>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1299"/>
      <c r="AJ103" s="1299"/>
      <c r="AK103" s="1299"/>
      <c r="AL103" s="1299"/>
      <c r="AM103" s="1299"/>
      <c r="AN103" s="1299"/>
      <c r="AO103" s="1299"/>
      <c r="AP103" s="1299"/>
      <c r="AQ103" s="1299"/>
      <c r="AR103" s="1299"/>
      <c r="AS103" s="1299"/>
      <c r="AT103" s="1299"/>
      <c r="AU103" s="20"/>
      <c r="AV103" s="20"/>
      <c r="AW103" s="20"/>
      <c r="AX103" s="20"/>
      <c r="AY103" s="20"/>
    </row>
    <row r="104" spans="1:52" ht="13.0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05" customHeight="1">
      <c r="A105" s="1299" t="s">
        <v>2521</v>
      </c>
      <c r="B105" s="1299"/>
      <c r="C105" s="1299"/>
      <c r="D105" s="1299"/>
      <c r="E105" s="1299"/>
      <c r="F105" s="1299"/>
      <c r="G105" s="1299"/>
      <c r="H105" s="1299"/>
      <c r="I105" s="1299"/>
      <c r="J105" s="1299"/>
      <c r="K105" s="1299"/>
      <c r="L105" s="1299"/>
      <c r="M105" s="1299"/>
      <c r="N105" s="1299"/>
      <c r="O105" s="1299"/>
      <c r="P105" s="1299"/>
      <c r="Q105" s="1299"/>
      <c r="R105" s="1299"/>
      <c r="S105" s="1299"/>
      <c r="T105" s="1299"/>
      <c r="U105" s="1299"/>
      <c r="V105" s="1299"/>
      <c r="W105" s="1299"/>
      <c r="X105" s="1299"/>
      <c r="Y105" s="1299"/>
      <c r="Z105" s="1299"/>
      <c r="AA105" s="1299"/>
      <c r="AB105" s="1299"/>
      <c r="AC105" s="1299"/>
      <c r="AD105" s="1299"/>
      <c r="AE105" s="1299"/>
      <c r="AF105" s="1299"/>
      <c r="AG105" s="1299"/>
      <c r="AH105" s="1299"/>
      <c r="AI105" s="1299"/>
      <c r="AJ105" s="1299"/>
      <c r="AK105" s="1299"/>
      <c r="AL105" s="1299"/>
      <c r="AM105" s="1299"/>
      <c r="AN105" s="1299"/>
      <c r="AO105" s="1299"/>
      <c r="AP105" s="1299"/>
      <c r="AQ105" s="1299"/>
      <c r="AR105" s="1299"/>
      <c r="AS105" s="1299"/>
      <c r="AT105" s="1299"/>
      <c r="AU105" s="20"/>
      <c r="AV105" s="20"/>
      <c r="AW105" s="20"/>
      <c r="AX105" s="20"/>
      <c r="AY105" s="20"/>
    </row>
    <row r="106" spans="1:52" ht="13.05" customHeight="1">
      <c r="A106" s="1299"/>
      <c r="B106" s="1299"/>
      <c r="C106" s="1299"/>
      <c r="D106" s="1299"/>
      <c r="E106" s="1299"/>
      <c r="F106" s="1299"/>
      <c r="G106" s="1299"/>
      <c r="H106" s="1299"/>
      <c r="I106" s="1299"/>
      <c r="J106" s="1299"/>
      <c r="K106" s="1299"/>
      <c r="L106" s="1299"/>
      <c r="M106" s="1299"/>
      <c r="N106" s="1299"/>
      <c r="O106" s="1299"/>
      <c r="P106" s="1299"/>
      <c r="Q106" s="1299"/>
      <c r="R106" s="1299"/>
      <c r="S106" s="1299"/>
      <c r="T106" s="1299"/>
      <c r="U106" s="1299"/>
      <c r="V106" s="1299"/>
      <c r="W106" s="1299"/>
      <c r="X106" s="1299"/>
      <c r="Y106" s="1299"/>
      <c r="Z106" s="1299"/>
      <c r="AA106" s="1299"/>
      <c r="AB106" s="1299"/>
      <c r="AC106" s="1299"/>
      <c r="AD106" s="1299"/>
      <c r="AE106" s="1299"/>
      <c r="AF106" s="1299"/>
      <c r="AG106" s="1299"/>
      <c r="AH106" s="1299"/>
      <c r="AI106" s="1299"/>
      <c r="AJ106" s="1299"/>
      <c r="AK106" s="1299"/>
      <c r="AL106" s="1299"/>
      <c r="AM106" s="1299"/>
      <c r="AN106" s="1299"/>
      <c r="AO106" s="1299"/>
      <c r="AP106" s="1299"/>
      <c r="AQ106" s="1299"/>
      <c r="AR106" s="1299"/>
      <c r="AS106" s="1299"/>
      <c r="AT106" s="1299"/>
      <c r="AU106" s="20"/>
      <c r="AV106" s="20"/>
      <c r="AW106" s="20"/>
      <c r="AX106" s="20"/>
      <c r="AY106" s="20"/>
    </row>
    <row r="107" spans="1:52" ht="13.0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05" customHeight="1">
      <c r="A108" s="551" t="s">
        <v>2522</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0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0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0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0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05" customHeight="1">
      <c r="A113" s="311"/>
      <c r="C113" s="3" t="s">
        <v>181</v>
      </c>
      <c r="G113" s="1824">
        <v>19</v>
      </c>
      <c r="H113" s="1824"/>
      <c r="I113" s="3" t="s">
        <v>182</v>
      </c>
      <c r="L113" s="1824" t="s">
        <v>2771</v>
      </c>
      <c r="M113" s="1824"/>
      <c r="N113" s="1824"/>
      <c r="O113" s="1824"/>
      <c r="P113" s="1840" t="s">
        <v>2523</v>
      </c>
      <c r="Q113" s="1840"/>
      <c r="R113" s="1840"/>
      <c r="S113" s="184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0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05" customHeight="1">
      <c r="A115" s="91"/>
      <c r="C115" s="1853" t="s">
        <v>737</v>
      </c>
      <c r="D115" s="1853"/>
      <c r="E115" s="1853"/>
      <c r="F115" s="1853"/>
      <c r="G115" s="1853"/>
      <c r="H115" s="1853"/>
      <c r="I115" s="1853"/>
      <c r="J115" s="1853"/>
      <c r="K115" s="1853"/>
      <c r="L115" s="216" t="s">
        <v>2787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0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05" customHeight="1">
      <c r="A117" s="91"/>
      <c r="B117" s="22"/>
      <c r="C117" s="22"/>
      <c r="X117" s="3" t="s">
        <v>635</v>
      </c>
      <c r="Y117" s="1824"/>
      <c r="Z117" s="1824"/>
      <c r="AA117" s="1824"/>
      <c r="AB117" s="1824"/>
      <c r="AC117" s="1824"/>
      <c r="AD117" s="1824"/>
      <c r="AE117" s="1824"/>
      <c r="AF117" s="1824"/>
      <c r="AG117" s="1824"/>
      <c r="AH117" s="1824"/>
      <c r="AI117" s="1824"/>
      <c r="AJ117" s="1824"/>
      <c r="AK117" s="1824"/>
    </row>
    <row r="118" spans="1:51" ht="13.05" customHeight="1">
      <c r="X118" s="3"/>
      <c r="Y118" s="3"/>
      <c r="Z118" s="3" t="s">
        <v>636</v>
      </c>
      <c r="AA118" s="3"/>
      <c r="AB118" s="3"/>
      <c r="AC118" s="3"/>
      <c r="AD118" s="3"/>
      <c r="AE118" s="3"/>
      <c r="AF118" s="3"/>
      <c r="AG118" s="3"/>
      <c r="AH118" s="3"/>
      <c r="AI118" s="3"/>
      <c r="AJ118" s="3"/>
      <c r="AK118" s="3"/>
    </row>
    <row r="119" spans="1:51" ht="13.0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05" customHeight="1">
      <c r="A120" s="91"/>
      <c r="B120" s="3"/>
      <c r="P120" s="3"/>
      <c r="Q120" s="3"/>
      <c r="R120" s="3"/>
      <c r="S120" s="3"/>
      <c r="T120" s="3"/>
      <c r="U120" s="3"/>
      <c r="V120" s="3"/>
      <c r="W120" s="3"/>
      <c r="X120" s="3"/>
      <c r="Y120" s="1824" t="s">
        <v>2786</v>
      </c>
      <c r="Z120" s="1824"/>
      <c r="AA120" s="1824"/>
      <c r="AB120" s="1824"/>
      <c r="AC120" s="1824"/>
      <c r="AD120" s="1824"/>
      <c r="AE120" s="1824"/>
      <c r="AF120" s="1824"/>
      <c r="AG120" s="1824"/>
      <c r="AH120" s="1824"/>
      <c r="AI120" s="1824"/>
      <c r="AJ120" s="1824"/>
      <c r="AK120" s="1824"/>
      <c r="AL120" s="3"/>
      <c r="AM120" s="3"/>
      <c r="AN120" s="3"/>
      <c r="AO120" s="3"/>
      <c r="AP120" s="3"/>
      <c r="AQ120" s="3"/>
      <c r="AR120" s="3"/>
      <c r="AS120" s="3"/>
      <c r="AT120" s="3"/>
      <c r="AU120" s="3"/>
      <c r="AV120" s="3"/>
      <c r="AW120" s="3"/>
      <c r="AX120" s="3"/>
      <c r="AY120" s="3"/>
    </row>
    <row r="121" spans="1:51" ht="13.0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05" customHeight="1">
      <c r="A122" s="3"/>
      <c r="B122" s="3"/>
      <c r="T122" s="3"/>
      <c r="U122" s="3"/>
      <c r="V122" s="3"/>
      <c r="W122" s="3"/>
      <c r="AL122" s="3"/>
      <c r="AM122" s="3"/>
      <c r="AN122" s="3"/>
      <c r="AO122" s="3"/>
      <c r="AP122" s="3"/>
      <c r="AQ122" s="3"/>
      <c r="AR122" s="3"/>
      <c r="AS122" s="3"/>
      <c r="AT122" s="3"/>
      <c r="AU122" s="3"/>
      <c r="AV122" s="3"/>
      <c r="AW122" s="3"/>
      <c r="AX122" s="3"/>
      <c r="AY122" s="3"/>
    </row>
    <row r="123" spans="1:51" ht="13.05" customHeight="1">
      <c r="A123" s="3"/>
      <c r="B123" s="3"/>
      <c r="T123" s="3"/>
      <c r="U123" s="3"/>
      <c r="V123" s="3"/>
      <c r="W123" s="3"/>
      <c r="X123" s="3"/>
      <c r="Y123" s="1824" t="s">
        <v>2788</v>
      </c>
      <c r="Z123" s="1824"/>
      <c r="AA123" s="1824"/>
      <c r="AB123" s="1824"/>
      <c r="AC123" s="1824"/>
      <c r="AD123" s="1824"/>
      <c r="AE123" s="1824"/>
      <c r="AF123" s="1824"/>
      <c r="AG123" s="1824"/>
      <c r="AH123" s="1824"/>
      <c r="AI123" s="1824"/>
      <c r="AJ123" s="1824"/>
      <c r="AK123" s="1824"/>
      <c r="AL123" s="3"/>
      <c r="AM123" s="3"/>
      <c r="AN123" s="3"/>
      <c r="AO123" s="3"/>
      <c r="AP123" s="3"/>
      <c r="AQ123" s="3"/>
      <c r="AR123" s="3"/>
      <c r="AS123" s="3"/>
      <c r="AT123" s="3"/>
      <c r="AU123" s="3"/>
      <c r="AV123" s="3"/>
      <c r="AW123" s="3"/>
      <c r="AX123" s="3"/>
      <c r="AY123" s="3"/>
    </row>
    <row r="124" spans="1:51" ht="13.0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0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05" customHeight="1"/>
    <row r="127" spans="1:51" ht="13.0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05" hidden="1" customHeight="1">
      <c r="A128" s="385"/>
      <c r="AL128" s="385"/>
      <c r="AM128" s="385"/>
      <c r="AN128" s="385"/>
      <c r="AO128" s="385"/>
      <c r="AP128" s="385"/>
      <c r="AQ128" s="385"/>
      <c r="AR128" s="385"/>
      <c r="AS128" s="385"/>
      <c r="AT128" s="385"/>
      <c r="AU128" s="385"/>
      <c r="AV128" s="385"/>
      <c r="AW128" s="385"/>
      <c r="AX128" s="385"/>
      <c r="AY128" s="385"/>
    </row>
    <row r="129" spans="1:51" ht="13.0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0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05" hidden="1" customHeight="1">
      <c r="A131" s="3"/>
      <c r="AL131" s="3"/>
      <c r="AM131" s="3"/>
      <c r="AN131" s="3"/>
      <c r="AO131" s="3"/>
      <c r="AP131" s="3"/>
      <c r="AQ131" s="3"/>
      <c r="AR131" s="3"/>
      <c r="AS131" s="3"/>
      <c r="AT131" s="3"/>
      <c r="AU131" s="3"/>
      <c r="AV131" s="3"/>
      <c r="AW131" s="3"/>
      <c r="AX131" s="3"/>
      <c r="AY131" s="3"/>
    </row>
    <row r="132" spans="1:51" ht="13.0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05" hidden="1" customHeight="1">
      <c r="A133" s="3"/>
      <c r="W133" s="3"/>
      <c r="AL133" s="3"/>
      <c r="AM133" s="3"/>
      <c r="AN133" s="3"/>
      <c r="AO133" s="3"/>
      <c r="AP133" s="3"/>
      <c r="AQ133" s="3"/>
      <c r="AR133" s="3"/>
      <c r="AS133" s="3"/>
      <c r="AT133" s="3"/>
      <c r="AU133" s="3"/>
      <c r="AV133" s="3"/>
      <c r="AW133" s="3"/>
      <c r="AX133" s="3"/>
      <c r="AY133" s="3"/>
    </row>
    <row r="134" spans="1:51" ht="13.0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05" hidden="1" customHeight="1">
      <c r="A135" s="3"/>
      <c r="M135" s="3"/>
      <c r="N135" s="3"/>
      <c r="O135" s="3"/>
      <c r="AK135" s="3"/>
      <c r="AL135" s="3"/>
      <c r="AM135" s="3"/>
      <c r="AN135" s="3"/>
      <c r="AO135" s="3"/>
      <c r="AP135" s="3"/>
      <c r="AQ135" s="3"/>
      <c r="AR135" s="3"/>
      <c r="AS135" s="3"/>
      <c r="AT135" s="3"/>
      <c r="AU135" s="3"/>
      <c r="AV135" s="3"/>
      <c r="AW135" s="3"/>
      <c r="AX135" s="3"/>
      <c r="AY135" s="3"/>
    </row>
    <row r="136" spans="1:51" ht="13.0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0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0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0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0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0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0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0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0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0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0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0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0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0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0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0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05" customHeight="1"/>
    <row r="153" spans="1:72" ht="13.05" customHeight="1">
      <c r="D153" t="s">
        <v>652</v>
      </c>
      <c r="O153" s="1433" t="s">
        <v>2723</v>
      </c>
      <c r="P153" s="1433"/>
      <c r="Q153" s="1433"/>
      <c r="R153" s="1433"/>
      <c r="S153" s="1433"/>
      <c r="T153" s="1433"/>
      <c r="U153" s="1433"/>
      <c r="V153" s="1433"/>
      <c r="W153" s="1433"/>
      <c r="X153" s="1433"/>
      <c r="Y153" s="1433"/>
      <c r="Z153" s="1433"/>
      <c r="AA153" s="1433"/>
      <c r="AB153" s="1433"/>
      <c r="AC153" s="1433"/>
      <c r="AD153" s="1433"/>
      <c r="AE153" s="1433"/>
      <c r="AF153" s="1433"/>
      <c r="AG153" s="1433"/>
      <c r="AH153" s="1433"/>
    </row>
    <row r="154" spans="1:72" ht="13.05" customHeight="1">
      <c r="D154" s="325" t="s">
        <v>442</v>
      </c>
      <c r="O154" s="1441" t="s">
        <v>2724</v>
      </c>
      <c r="P154" s="1441"/>
      <c r="Q154" s="1441"/>
      <c r="R154" s="1441"/>
      <c r="S154" s="1441"/>
      <c r="T154" s="1441"/>
      <c r="U154" s="1441"/>
      <c r="V154" s="1441"/>
      <c r="W154" s="1441"/>
      <c r="X154" s="1441"/>
      <c r="Y154" s="1441"/>
      <c r="Z154" s="1441"/>
      <c r="AA154" s="1441"/>
      <c r="AB154" s="1441"/>
      <c r="AC154" s="1441"/>
      <c r="AD154" s="1441"/>
      <c r="AE154" s="1441"/>
      <c r="AF154" s="1441"/>
      <c r="AG154" s="1441"/>
      <c r="AH154" s="1441"/>
    </row>
    <row r="155" spans="1:72" ht="13.05" customHeight="1">
      <c r="D155" s="8" t="s">
        <v>443</v>
      </c>
      <c r="F155" s="8"/>
      <c r="G155" s="8"/>
      <c r="H155" s="8"/>
      <c r="I155" s="8"/>
      <c r="J155" s="8"/>
      <c r="K155" s="8"/>
      <c r="L155" s="8"/>
      <c r="M155" s="8"/>
      <c r="N155" s="8"/>
      <c r="O155" s="1834" t="s">
        <v>2782</v>
      </c>
      <c r="P155" s="1835"/>
      <c r="Q155" s="1835"/>
      <c r="R155" s="1835"/>
      <c r="S155" s="1835"/>
      <c r="T155" s="1835"/>
      <c r="U155" s="1835"/>
      <c r="V155" s="1835"/>
      <c r="W155" s="1835"/>
      <c r="X155" s="1835"/>
      <c r="Y155" s="1835"/>
      <c r="Z155" s="1835"/>
      <c r="AA155" s="1835"/>
      <c r="AB155" s="1835"/>
      <c r="AC155" s="1835"/>
      <c r="AD155" s="1835"/>
      <c r="AE155" s="1835"/>
      <c r="AF155" s="1835"/>
      <c r="AG155" s="1835"/>
      <c r="AH155" s="1835"/>
    </row>
    <row r="156" spans="1:72" ht="13.05" customHeight="1">
      <c r="D156" t="s">
        <v>314</v>
      </c>
      <c r="O156" s="1416" t="s">
        <v>2725</v>
      </c>
      <c r="P156" s="1416"/>
      <c r="Q156" s="1416"/>
      <c r="R156" s="1416"/>
      <c r="S156" s="1416"/>
      <c r="T156" s="1416"/>
      <c r="U156" s="1416"/>
      <c r="V156" s="1416"/>
      <c r="W156" s="1416"/>
      <c r="X156" s="1416"/>
      <c r="Y156" s="1416"/>
      <c r="Z156" s="1416"/>
      <c r="AA156" s="1416"/>
      <c r="AB156" s="1416"/>
      <c r="AC156" s="1416"/>
      <c r="AD156" s="1416"/>
      <c r="AE156" s="1416"/>
      <c r="AF156" s="1416"/>
      <c r="AG156" s="1416"/>
      <c r="AH156" s="1416"/>
      <c r="BT156" t="s">
        <v>308</v>
      </c>
    </row>
    <row r="157" spans="1:72" ht="13.05" customHeight="1">
      <c r="D157" t="s">
        <v>315</v>
      </c>
      <c r="O157" s="1433" t="s">
        <v>2726</v>
      </c>
      <c r="P157" s="1433"/>
      <c r="Q157" s="1433"/>
      <c r="R157" s="1433"/>
      <c r="S157" s="1433"/>
      <c r="T157" s="1433"/>
      <c r="U157" s="1433"/>
      <c r="V157" s="1433"/>
      <c r="W157" s="1433"/>
      <c r="X157" s="1433"/>
      <c r="Y157" s="8"/>
      <c r="Z157" s="8"/>
      <c r="AA157" s="8"/>
      <c r="AB157" s="8"/>
      <c r="AC157" s="8"/>
      <c r="AD157" s="8"/>
      <c r="AE157" s="8"/>
      <c r="AF157" s="8"/>
      <c r="BN157" s="23" t="s">
        <v>643</v>
      </c>
      <c r="BT157" t="s">
        <v>484</v>
      </c>
    </row>
    <row r="158" spans="1:72" ht="13.05" customHeight="1">
      <c r="D158" t="s">
        <v>316</v>
      </c>
      <c r="O158" s="1836">
        <v>95066</v>
      </c>
      <c r="P158" s="1836"/>
      <c r="Q158" s="1836"/>
      <c r="R158" s="1836"/>
      <c r="S158" s="9"/>
      <c r="T158" s="9"/>
      <c r="U158" s="9"/>
      <c r="V158" s="9"/>
      <c r="W158" s="9"/>
      <c r="X158" s="9"/>
      <c r="Y158" s="9"/>
      <c r="Z158" s="9"/>
      <c r="AA158" s="9"/>
      <c r="AB158" s="9"/>
      <c r="AC158" s="9"/>
      <c r="AD158" s="9"/>
      <c r="AE158" s="9"/>
      <c r="AF158" s="9"/>
      <c r="BN158" s="23" t="s">
        <v>644</v>
      </c>
      <c r="BT158" t="s">
        <v>485</v>
      </c>
    </row>
    <row r="159" spans="1:72" ht="13.05" customHeight="1">
      <c r="D159" t="s">
        <v>317</v>
      </c>
      <c r="O159" s="1838" t="s">
        <v>2727</v>
      </c>
      <c r="P159" s="1838"/>
      <c r="Q159" s="1838"/>
      <c r="R159" s="1838"/>
      <c r="S159" s="1838"/>
      <c r="T159" s="1838"/>
      <c r="V159" s="97" t="s">
        <v>272</v>
      </c>
      <c r="W159" s="1837"/>
      <c r="X159" s="1837"/>
      <c r="Y159" s="10"/>
      <c r="Z159" s="10"/>
      <c r="AA159" s="10"/>
      <c r="AB159" s="10"/>
      <c r="AC159" s="10"/>
      <c r="AD159" s="10"/>
      <c r="AE159" s="10"/>
      <c r="AF159" s="10"/>
      <c r="BN159" s="23" t="s">
        <v>340</v>
      </c>
      <c r="BT159" t="s">
        <v>486</v>
      </c>
    </row>
    <row r="160" spans="1:72" ht="13.05" customHeight="1">
      <c r="D160" t="s">
        <v>318</v>
      </c>
      <c r="O160" s="1838" t="s">
        <v>2728</v>
      </c>
      <c r="P160" s="1838"/>
      <c r="Q160" s="1838"/>
      <c r="R160" s="1838"/>
      <c r="S160" s="1838"/>
      <c r="T160" s="1838"/>
      <c r="U160" s="10"/>
      <c r="V160" s="10"/>
      <c r="W160" s="10"/>
      <c r="X160" s="10"/>
      <c r="Y160" s="10"/>
      <c r="Z160" s="10"/>
      <c r="AA160" s="10"/>
      <c r="AB160" s="10"/>
      <c r="AC160" s="10"/>
      <c r="AD160" s="10"/>
      <c r="AE160" s="10"/>
      <c r="AF160" s="10"/>
      <c r="BN160" s="23" t="s">
        <v>667</v>
      </c>
      <c r="BT160" t="s">
        <v>487</v>
      </c>
    </row>
    <row r="161" spans="1:72" ht="13.05" customHeight="1">
      <c r="D161" t="s">
        <v>319</v>
      </c>
      <c r="O161" s="1826" t="s">
        <v>2729</v>
      </c>
      <c r="P161" s="1826"/>
      <c r="Q161" s="1826"/>
      <c r="R161" s="1826"/>
      <c r="S161" s="1826"/>
      <c r="T161" s="1826"/>
      <c r="U161" s="1826"/>
      <c r="V161" s="1826"/>
      <c r="W161" s="1826"/>
      <c r="X161" s="1826"/>
      <c r="Y161" s="1826"/>
      <c r="Z161" s="1826"/>
      <c r="AA161" s="1826"/>
      <c r="AB161" s="1826"/>
      <c r="AC161" s="1826"/>
      <c r="AD161" s="1826"/>
      <c r="AE161" s="1826"/>
      <c r="AF161" s="1826"/>
      <c r="AG161" s="1826"/>
      <c r="AH161" s="1826"/>
      <c r="BJ161" t="s">
        <v>676</v>
      </c>
      <c r="BN161" s="23" t="s">
        <v>668</v>
      </c>
      <c r="BT161" t="s">
        <v>488</v>
      </c>
    </row>
    <row r="162" spans="1:72" ht="13.0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669</v>
      </c>
      <c r="BT162" t="s">
        <v>489</v>
      </c>
    </row>
    <row r="163" spans="1:72" ht="13.05" customHeight="1">
      <c r="C163" s="27" t="s">
        <v>82</v>
      </c>
      <c r="D163" s="3" t="s">
        <v>2409</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490</v>
      </c>
    </row>
    <row r="164" spans="1:72" ht="13.05" customHeight="1">
      <c r="C164" s="27"/>
      <c r="D164" s="1854" t="s">
        <v>2617</v>
      </c>
      <c r="E164" s="1854"/>
      <c r="F164" s="1854"/>
      <c r="G164" s="1854"/>
      <c r="H164" s="1854"/>
      <c r="I164" s="1854"/>
      <c r="J164" s="1854"/>
      <c r="K164" s="1854"/>
      <c r="L164" s="1854"/>
      <c r="M164" s="1854"/>
      <c r="N164" s="1854"/>
      <c r="O164" s="1854"/>
      <c r="P164" s="1854"/>
      <c r="Q164" s="1854"/>
      <c r="R164" s="1854"/>
      <c r="S164" s="1854"/>
      <c r="T164" s="1854"/>
      <c r="U164" s="1854"/>
      <c r="V164" s="1854"/>
      <c r="W164" s="1854"/>
      <c r="X164" s="1854"/>
      <c r="Y164" s="1854"/>
      <c r="Z164" s="1854"/>
      <c r="AA164" s="1854"/>
      <c r="AB164" s="1854"/>
      <c r="AC164" s="1854"/>
      <c r="AD164" s="1854"/>
      <c r="AE164" s="1854"/>
      <c r="AF164" s="1854"/>
      <c r="AG164" s="1854"/>
      <c r="AH164" s="1854"/>
      <c r="BN164" s="23" t="s">
        <v>671</v>
      </c>
      <c r="BT164" t="s">
        <v>491</v>
      </c>
    </row>
    <row r="165" spans="1:72" ht="13.0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492</v>
      </c>
    </row>
    <row r="166" spans="1:72" ht="13.0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493</v>
      </c>
    </row>
    <row r="167" spans="1:72" ht="13.0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494</v>
      </c>
    </row>
    <row r="168" spans="1:72" ht="13.0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495</v>
      </c>
    </row>
    <row r="169" spans="1:72" ht="13.05" customHeight="1">
      <c r="A169" s="1434" t="s">
        <v>547</v>
      </c>
      <c r="B169" s="1434"/>
      <c r="C169" s="1434"/>
      <c r="D169" s="1434"/>
      <c r="E169" s="1434"/>
      <c r="F169" s="1434"/>
      <c r="G169" s="1434"/>
      <c r="H169" s="1434"/>
      <c r="I169" s="1434"/>
      <c r="J169" s="1434"/>
      <c r="K169" s="1434"/>
      <c r="L169" s="1434"/>
      <c r="M169" s="1434"/>
      <c r="N169" s="1434"/>
      <c r="O169" s="1434"/>
      <c r="P169" s="1434"/>
      <c r="Q169" s="1434"/>
      <c r="R169" s="1434"/>
      <c r="S169" s="1434"/>
      <c r="T169" s="1434"/>
      <c r="U169" s="1434"/>
      <c r="V169" s="1434"/>
      <c r="W169" s="1434"/>
      <c r="X169" s="1434"/>
      <c r="Y169" s="1434"/>
      <c r="Z169" s="1434"/>
      <c r="AA169" s="1434"/>
      <c r="AB169" s="1434"/>
      <c r="AC169" s="1434"/>
      <c r="AD169" s="1434"/>
      <c r="AE169" s="1434"/>
      <c r="AF169" s="1434"/>
      <c r="AG169" s="1434"/>
      <c r="AH169" s="1434"/>
      <c r="AI169" s="1434"/>
      <c r="AJ169" s="1434"/>
      <c r="AK169" s="1434"/>
      <c r="AL169" s="1434"/>
      <c r="AM169" s="1434"/>
      <c r="AN169" s="1434"/>
      <c r="AO169" s="1434"/>
      <c r="AP169" s="1434"/>
      <c r="AQ169" s="1434"/>
      <c r="AR169" s="1434"/>
      <c r="AS169" s="1434"/>
      <c r="AT169" s="1434"/>
      <c r="AU169" s="95"/>
      <c r="AV169" s="95"/>
      <c r="AW169" s="95"/>
      <c r="AX169" s="95"/>
      <c r="AY169" s="95"/>
      <c r="BN169" s="23" t="s">
        <v>680</v>
      </c>
      <c r="BT169" t="s">
        <v>496</v>
      </c>
    </row>
    <row r="170" spans="1:72" ht="13.05" customHeight="1">
      <c r="A170" s="1434"/>
      <c r="B170" s="1434"/>
      <c r="C170" s="1434"/>
      <c r="D170" s="1434"/>
      <c r="E170" s="1434"/>
      <c r="F170" s="1434"/>
      <c r="G170" s="1434"/>
      <c r="H170" s="1434"/>
      <c r="I170" s="1434"/>
      <c r="J170" s="1434"/>
      <c r="K170" s="1434"/>
      <c r="L170" s="1434"/>
      <c r="M170" s="1434"/>
      <c r="N170" s="1434"/>
      <c r="O170" s="1434"/>
      <c r="P170" s="1434"/>
      <c r="Q170" s="1434"/>
      <c r="R170" s="1434"/>
      <c r="S170" s="1434"/>
      <c r="T170" s="1434"/>
      <c r="U170" s="1434"/>
      <c r="V170" s="1434"/>
      <c r="W170" s="1434"/>
      <c r="X170" s="1434"/>
      <c r="Y170" s="1434"/>
      <c r="Z170" s="1434"/>
      <c r="AA170" s="1434"/>
      <c r="AB170" s="1434"/>
      <c r="AC170" s="1434"/>
      <c r="AD170" s="1434"/>
      <c r="AE170" s="1434"/>
      <c r="AF170" s="1434"/>
      <c r="AG170" s="1434"/>
      <c r="AH170" s="1434"/>
      <c r="AI170" s="1434"/>
      <c r="AJ170" s="1434"/>
      <c r="AK170" s="1434"/>
      <c r="AL170" s="1434"/>
      <c r="AM170" s="1434"/>
      <c r="AN170" s="1434"/>
      <c r="AO170" s="1434"/>
      <c r="AP170" s="1434"/>
      <c r="AQ170" s="1434"/>
      <c r="AR170" s="1434"/>
      <c r="AS170" s="1434"/>
      <c r="AT170" s="1434"/>
      <c r="AU170" s="95"/>
      <c r="AV170" s="95"/>
      <c r="AW170" s="95"/>
      <c r="AX170" s="95"/>
      <c r="AY170" s="95"/>
      <c r="BN170" s="23" t="s">
        <v>681</v>
      </c>
      <c r="BT170" t="s">
        <v>497</v>
      </c>
    </row>
    <row r="171" spans="1:72" ht="13.05" customHeight="1">
      <c r="BN171" s="23" t="s">
        <v>212</v>
      </c>
      <c r="BT171" t="s">
        <v>498</v>
      </c>
    </row>
    <row r="172" spans="1:72" ht="13.05" customHeight="1">
      <c r="A172" s="2" t="s">
        <v>320</v>
      </c>
      <c r="C172" s="2" t="s">
        <v>321</v>
      </c>
      <c r="BN172" s="23" t="s">
        <v>214</v>
      </c>
      <c r="BT172" t="s">
        <v>499</v>
      </c>
    </row>
    <row r="173" spans="1:72" ht="13.05" customHeight="1">
      <c r="C173" s="24"/>
      <c r="D173" t="s">
        <v>322</v>
      </c>
      <c r="J173" s="1833" t="s">
        <v>372</v>
      </c>
      <c r="K173" s="1833"/>
      <c r="L173" s="1833"/>
      <c r="M173" s="1833"/>
      <c r="N173" s="1833"/>
      <c r="O173" s="1833"/>
      <c r="P173" s="1833"/>
      <c r="Q173" s="1833"/>
      <c r="R173" s="1833"/>
      <c r="S173" s="1833"/>
      <c r="U173" s="25"/>
      <c r="X173" s="25"/>
      <c r="BB173" s="3" t="s">
        <v>308</v>
      </c>
      <c r="BN173" s="23" t="s">
        <v>215</v>
      </c>
      <c r="BT173" t="s">
        <v>500</v>
      </c>
    </row>
    <row r="174" spans="1:72" ht="13.05" customHeight="1">
      <c r="C174" s="24"/>
      <c r="D174" s="3" t="s">
        <v>1307</v>
      </c>
      <c r="J174" s="1416" t="s">
        <v>2415</v>
      </c>
      <c r="K174" s="1416"/>
      <c r="L174" s="1416"/>
      <c r="M174" s="1416"/>
      <c r="N174" s="1416"/>
      <c r="O174" s="1416"/>
      <c r="P174" s="1416"/>
      <c r="Q174" s="1416"/>
      <c r="R174" s="1416"/>
      <c r="S174" s="1416"/>
      <c r="T174" s="1416"/>
      <c r="U174" s="1416"/>
      <c r="V174" s="1416"/>
      <c r="W174" s="1416"/>
      <c r="X174" s="1416"/>
      <c r="Y174" s="1416"/>
      <c r="Z174" s="1416"/>
      <c r="AA174" s="1416"/>
      <c r="AB174" s="1416"/>
      <c r="BB174" t="s">
        <v>2268</v>
      </c>
      <c r="BN174" s="23" t="s">
        <v>217</v>
      </c>
      <c r="BT174" t="s">
        <v>501</v>
      </c>
    </row>
    <row r="175" spans="1:72" ht="13.05" customHeight="1">
      <c r="C175" s="8"/>
      <c r="D175" s="3" t="s">
        <v>323</v>
      </c>
      <c r="O175" s="27"/>
      <c r="U175" s="1415" t="s">
        <v>676</v>
      </c>
      <c r="V175" s="1415"/>
      <c r="BB175" t="s">
        <v>2232</v>
      </c>
      <c r="BN175" s="23" t="s">
        <v>218</v>
      </c>
      <c r="BT175" t="s">
        <v>502</v>
      </c>
    </row>
    <row r="176" spans="1:72" ht="13.05" customHeight="1">
      <c r="C176" s="8"/>
      <c r="D176" s="26"/>
      <c r="E176" t="s">
        <v>305</v>
      </c>
      <c r="O176" s="27"/>
      <c r="P176" t="s">
        <v>2390</v>
      </c>
      <c r="T176" s="27" t="s">
        <v>306</v>
      </c>
      <c r="U176" s="1435"/>
      <c r="V176" s="1435"/>
      <c r="W176" s="1" t="s">
        <v>307</v>
      </c>
      <c r="X176" s="1846"/>
      <c r="Y176" s="1846"/>
      <c r="BB176" t="s">
        <v>2269</v>
      </c>
      <c r="BN176" s="23" t="s">
        <v>220</v>
      </c>
      <c r="BT176" t="s">
        <v>503</v>
      </c>
    </row>
    <row r="177" spans="1:72" ht="13.05" customHeight="1">
      <c r="C177" s="24"/>
      <c r="D177" t="s">
        <v>250</v>
      </c>
      <c r="R177" s="1415" t="s">
        <v>676</v>
      </c>
      <c r="S177" s="1415"/>
      <c r="BB177" t="s">
        <v>2572</v>
      </c>
      <c r="BN177" s="23" t="s">
        <v>221</v>
      </c>
      <c r="BT177" t="s">
        <v>504</v>
      </c>
    </row>
    <row r="178" spans="1:72" ht="13.05" customHeight="1">
      <c r="C178" s="24"/>
      <c r="D178" s="3" t="s">
        <v>1308</v>
      </c>
      <c r="AA178" t="s">
        <v>2390</v>
      </c>
      <c r="AE178" s="27" t="s">
        <v>306</v>
      </c>
      <c r="AF178" s="1823"/>
      <c r="AG178" s="1823"/>
      <c r="AH178" s="1" t="s">
        <v>307</v>
      </c>
      <c r="AI178" s="1699"/>
      <c r="AJ178" s="1699"/>
      <c r="AK178" s="1699"/>
      <c r="BB178" t="s">
        <v>2573</v>
      </c>
      <c r="BN178" s="23" t="s">
        <v>222</v>
      </c>
      <c r="BT178" t="s">
        <v>53</v>
      </c>
    </row>
    <row r="179" spans="1:72" ht="13.05" customHeight="1">
      <c r="C179" s="24"/>
      <c r="BN179" s="23" t="s">
        <v>223</v>
      </c>
      <c r="BT179" t="s">
        <v>54</v>
      </c>
    </row>
    <row r="180" spans="1:72" ht="13.05" customHeight="1">
      <c r="C180" s="24"/>
      <c r="D180" t="s">
        <v>2391</v>
      </c>
      <c r="X180" s="1415" t="s">
        <v>676</v>
      </c>
      <c r="Y180" s="1415"/>
      <c r="BN180" s="23" t="s">
        <v>225</v>
      </c>
      <c r="BT180" t="s">
        <v>55</v>
      </c>
    </row>
    <row r="181" spans="1:72" ht="13.05" customHeight="1">
      <c r="C181" s="8"/>
      <c r="E181" s="4" t="s">
        <v>994</v>
      </c>
      <c r="BN181" s="23" t="s">
        <v>226</v>
      </c>
      <c r="BT181" t="s">
        <v>56</v>
      </c>
    </row>
    <row r="182" spans="1:72" ht="13.05" customHeight="1">
      <c r="C182" s="564"/>
      <c r="BN182" s="23" t="s">
        <v>227</v>
      </c>
      <c r="BT182" t="s">
        <v>60</v>
      </c>
    </row>
    <row r="183" spans="1:72" ht="13.05" customHeight="1">
      <c r="A183" s="2" t="s">
        <v>584</v>
      </c>
      <c r="C183" s="2" t="s">
        <v>585</v>
      </c>
      <c r="BN183" s="23" t="s">
        <v>229</v>
      </c>
      <c r="BT183" t="s">
        <v>61</v>
      </c>
    </row>
    <row r="184" spans="1:72" ht="13.05" customHeight="1">
      <c r="C184" s="21"/>
      <c r="D184" t="s">
        <v>586</v>
      </c>
      <c r="I184" s="1417" t="str">
        <f>H18</f>
        <v>4575 Scotts Valley Apartments</v>
      </c>
      <c r="J184" s="1417"/>
      <c r="K184" s="1417"/>
      <c r="L184" s="1417"/>
      <c r="M184" s="1417"/>
      <c r="N184" s="1417"/>
      <c r="O184" s="1417"/>
      <c r="P184" s="1417"/>
      <c r="Q184" s="1417"/>
      <c r="R184" s="1417"/>
      <c r="S184" s="1417"/>
      <c r="T184" s="1417"/>
      <c r="U184" s="1417"/>
      <c r="V184" s="1417"/>
      <c r="W184" s="1417"/>
      <c r="X184" s="1417"/>
      <c r="Y184" s="1417"/>
      <c r="Z184" s="1417"/>
      <c r="AA184" s="1417"/>
      <c r="AB184" s="1417"/>
      <c r="AC184" s="1417"/>
      <c r="AD184" s="1417"/>
      <c r="AE184" s="1417"/>
      <c r="BC184" t="s">
        <v>595</v>
      </c>
      <c r="BN184" s="23" t="s">
        <v>231</v>
      </c>
      <c r="BT184" t="s">
        <v>62</v>
      </c>
    </row>
    <row r="185" spans="1:72" ht="13.05" customHeight="1">
      <c r="C185" s="21"/>
      <c r="D185" t="s">
        <v>587</v>
      </c>
      <c r="I185" s="1410" t="s">
        <v>2751</v>
      </c>
      <c r="J185" s="1411"/>
      <c r="K185" s="1411"/>
      <c r="L185" s="1411"/>
      <c r="M185" s="1411"/>
      <c r="N185" s="1411"/>
      <c r="O185" s="1411"/>
      <c r="P185" s="1411"/>
      <c r="Q185" s="1411"/>
      <c r="R185" s="1411"/>
      <c r="S185" s="1411"/>
      <c r="T185" s="1411"/>
      <c r="U185" s="1411"/>
      <c r="V185" s="1411"/>
      <c r="W185" s="1411"/>
      <c r="X185" s="1411"/>
      <c r="Y185" s="1411"/>
      <c r="Z185" s="1411"/>
      <c r="AA185" s="1411"/>
      <c r="AB185" s="1411"/>
      <c r="AC185" s="1411"/>
      <c r="AD185" s="1411"/>
      <c r="AE185" s="1411"/>
      <c r="BC185" t="s">
        <v>596</v>
      </c>
      <c r="BN185" s="23" t="s">
        <v>232</v>
      </c>
      <c r="BT185" t="s">
        <v>63</v>
      </c>
    </row>
    <row r="186" spans="1:72" ht="13.05" customHeight="1">
      <c r="C186" s="21"/>
      <c r="E186" t="s">
        <v>168</v>
      </c>
      <c r="BN186" s="23" t="s">
        <v>233</v>
      </c>
      <c r="BT186" t="s">
        <v>64</v>
      </c>
    </row>
    <row r="187" spans="1:72" ht="13.05" customHeight="1">
      <c r="C187" s="21"/>
      <c r="E187" s="1850"/>
      <c r="F187" s="1850"/>
      <c r="G187" s="1850"/>
      <c r="H187" s="1850"/>
      <c r="I187" s="1850"/>
      <c r="J187" s="1850"/>
      <c r="K187" s="1850"/>
      <c r="L187" s="1850"/>
      <c r="M187" s="1850"/>
      <c r="N187" s="1850"/>
      <c r="O187" s="1850"/>
      <c r="P187" s="1850"/>
      <c r="Q187" s="1850"/>
      <c r="R187" s="1850"/>
      <c r="S187" s="1850"/>
      <c r="T187" s="1850"/>
      <c r="U187" s="1850"/>
      <c r="V187" s="1850"/>
      <c r="W187" s="1850"/>
      <c r="X187" s="1850"/>
      <c r="Y187" s="1850"/>
      <c r="Z187" s="1850"/>
      <c r="AA187" s="1850"/>
      <c r="AB187" s="1850"/>
      <c r="AC187" s="1850"/>
      <c r="AD187" s="1850"/>
      <c r="AE187" s="1850"/>
      <c r="BN187" s="23" t="s">
        <v>234</v>
      </c>
      <c r="BT187" t="s">
        <v>65</v>
      </c>
    </row>
    <row r="188" spans="1:72" ht="13.05" customHeight="1">
      <c r="C188" s="21"/>
      <c r="E188" s="1724"/>
      <c r="F188" s="1724"/>
      <c r="G188" s="1724"/>
      <c r="H188" s="1724"/>
      <c r="I188" s="1724"/>
      <c r="J188" s="1724"/>
      <c r="K188" s="1724"/>
      <c r="L188" s="1724"/>
      <c r="M188" s="1724"/>
      <c r="N188" s="1724"/>
      <c r="O188" s="1724"/>
      <c r="P188" s="1724"/>
      <c r="Q188" s="1724"/>
      <c r="R188" s="1724"/>
      <c r="S188" s="1724"/>
      <c r="T188" s="1724"/>
      <c r="U188" s="1724"/>
      <c r="V188" s="1724"/>
      <c r="W188" s="1724"/>
      <c r="X188" s="1724"/>
      <c r="Y188" s="1724"/>
      <c r="Z188" s="1724"/>
      <c r="AA188" s="1724"/>
      <c r="AB188" s="1724"/>
      <c r="AC188" s="1724"/>
      <c r="AD188" s="1724"/>
      <c r="AE188" s="1724"/>
      <c r="BN188" s="23" t="s">
        <v>236</v>
      </c>
      <c r="BT188" t="s">
        <v>66</v>
      </c>
    </row>
    <row r="189" spans="1:72" ht="13.05" customHeight="1">
      <c r="C189" s="21"/>
      <c r="D189" t="s">
        <v>588</v>
      </c>
      <c r="I189" s="1432" t="s">
        <v>2726</v>
      </c>
      <c r="J189" s="1416"/>
      <c r="K189" s="1416"/>
      <c r="L189" s="1416"/>
      <c r="M189" s="1416"/>
      <c r="N189" s="1416"/>
      <c r="O189" s="1416"/>
      <c r="P189" s="1416"/>
      <c r="Q189" t="s">
        <v>590</v>
      </c>
      <c r="T189" s="1416" t="s">
        <v>194</v>
      </c>
      <c r="U189" s="1416"/>
      <c r="V189" s="1416"/>
      <c r="W189" s="1416"/>
      <c r="X189" s="1416"/>
      <c r="Y189" s="1416"/>
      <c r="Z189" s="1416"/>
      <c r="AA189" s="1416"/>
      <c r="AB189" s="1416"/>
      <c r="AC189" s="1416"/>
      <c r="AD189" s="1416"/>
      <c r="AE189" s="1416"/>
      <c r="BC189" t="s">
        <v>308</v>
      </c>
      <c r="BH189" s="3" t="s">
        <v>599</v>
      </c>
      <c r="BN189" s="23" t="s">
        <v>237</v>
      </c>
      <c r="BT189" t="s">
        <v>67</v>
      </c>
    </row>
    <row r="190" spans="1:72" ht="13.05" customHeight="1">
      <c r="C190" s="21"/>
      <c r="D190" t="s">
        <v>591</v>
      </c>
      <c r="I190" s="1411">
        <v>95066</v>
      </c>
      <c r="J190" s="1411"/>
      <c r="K190" s="1411"/>
      <c r="L190" s="1411"/>
      <c r="M190" s="1411"/>
      <c r="N190" s="1411"/>
      <c r="O190" t="s">
        <v>593</v>
      </c>
      <c r="T190" s="1847">
        <v>1209.02</v>
      </c>
      <c r="U190" s="1847"/>
      <c r="V190" s="1847"/>
      <c r="W190" s="1847"/>
      <c r="X190" s="1847"/>
      <c r="Y190" s="1847"/>
      <c r="Z190" s="1847"/>
      <c r="AA190" s="1847"/>
      <c r="AB190" s="1847"/>
      <c r="AC190" s="1847"/>
      <c r="AD190" s="1847"/>
      <c r="AE190" s="1847"/>
      <c r="BC190" t="s">
        <v>1064</v>
      </c>
      <c r="BH190" t="s">
        <v>1064</v>
      </c>
      <c r="BN190" s="23" t="s">
        <v>642</v>
      </c>
      <c r="BT190" t="s">
        <v>68</v>
      </c>
    </row>
    <row r="191" spans="1:72" ht="13.05" customHeight="1">
      <c r="C191" s="21"/>
      <c r="D191" t="s">
        <v>470</v>
      </c>
      <c r="N191" s="1849" t="s">
        <v>2757</v>
      </c>
      <c r="O191" s="1850"/>
      <c r="P191" s="1850"/>
      <c r="Q191" s="1850"/>
      <c r="R191" s="1850"/>
      <c r="S191" s="1850"/>
      <c r="T191" s="1850"/>
      <c r="U191" s="1850"/>
      <c r="V191" s="1850"/>
      <c r="W191" s="1850"/>
      <c r="X191" s="1850"/>
      <c r="Y191" s="1850"/>
      <c r="Z191" s="1850"/>
      <c r="AA191" s="1850"/>
      <c r="AB191" s="1850"/>
      <c r="AC191" s="1850"/>
      <c r="AD191" s="1850"/>
      <c r="AE191" s="1850"/>
      <c r="BC191" t="s">
        <v>1063</v>
      </c>
      <c r="BH191" t="s">
        <v>1063</v>
      </c>
      <c r="BN191" s="23" t="s">
        <v>696</v>
      </c>
      <c r="BT191" t="s">
        <v>735</v>
      </c>
    </row>
    <row r="192" spans="1:72" ht="13.05" customHeight="1">
      <c r="C192" s="21"/>
      <c r="M192" s="40"/>
      <c r="N192" s="1724"/>
      <c r="O192" s="1724"/>
      <c r="P192" s="1724"/>
      <c r="Q192" s="1724"/>
      <c r="R192" s="1724"/>
      <c r="S192" s="1724"/>
      <c r="T192" s="1724"/>
      <c r="U192" s="1724"/>
      <c r="V192" s="1724"/>
      <c r="W192" s="1724"/>
      <c r="X192" s="1724"/>
      <c r="Y192" s="1724"/>
      <c r="Z192" s="1724"/>
      <c r="AA192" s="1724"/>
      <c r="AB192" s="1724"/>
      <c r="AC192" s="1724"/>
      <c r="AD192" s="1724"/>
      <c r="AE192" s="1724"/>
      <c r="BC192" t="s">
        <v>1066</v>
      </c>
      <c r="BH192" s="3" t="s">
        <v>1472</v>
      </c>
      <c r="BN192" s="23" t="s">
        <v>697</v>
      </c>
      <c r="BT192" t="s">
        <v>736</v>
      </c>
    </row>
    <row r="193" spans="1:74" ht="13.05" customHeight="1">
      <c r="C193" s="21"/>
      <c r="D193" t="s">
        <v>2392</v>
      </c>
      <c r="M193" s="40"/>
      <c r="N193" s="928"/>
      <c r="O193" s="928"/>
      <c r="P193" s="928"/>
      <c r="Q193" s="928"/>
      <c r="R193" s="928"/>
      <c r="S193" s="928"/>
      <c r="T193" s="1843" t="s">
        <v>2232</v>
      </c>
      <c r="U193" s="1843"/>
      <c r="V193" s="1843"/>
      <c r="W193" s="1843"/>
      <c r="X193" s="1843"/>
      <c r="Y193" s="1843"/>
      <c r="Z193" s="1843"/>
      <c r="AA193" s="1843"/>
      <c r="AB193" s="1843"/>
      <c r="AC193" s="1843"/>
      <c r="AD193" s="1843"/>
      <c r="AE193" s="1843"/>
      <c r="AF193" s="1843"/>
      <c r="AG193" s="1843"/>
      <c r="AH193" s="1843"/>
      <c r="AI193" s="1843"/>
      <c r="BC193" t="s">
        <v>1065</v>
      </c>
      <c r="BH193" s="3" t="s">
        <v>1739</v>
      </c>
      <c r="BN193" s="23" t="s">
        <v>698</v>
      </c>
      <c r="BT193" t="s">
        <v>737</v>
      </c>
    </row>
    <row r="194" spans="1:74" ht="13.05" customHeight="1">
      <c r="C194" s="21"/>
      <c r="D194" s="3" t="s">
        <v>2574</v>
      </c>
      <c r="M194" s="40"/>
      <c r="N194" s="928"/>
      <c r="O194" s="928"/>
      <c r="P194" s="928"/>
      <c r="Q194" s="928"/>
      <c r="R194" s="928"/>
      <c r="S194" s="928"/>
      <c r="AH194" s="1415" t="s">
        <v>676</v>
      </c>
      <c r="AI194" s="1415"/>
      <c r="BC194" t="s">
        <v>1472</v>
      </c>
      <c r="BN194" s="23" t="s">
        <v>699</v>
      </c>
      <c r="BT194" t="s">
        <v>738</v>
      </c>
    </row>
    <row r="195" spans="1:74" ht="13.05" customHeight="1">
      <c r="C195" s="21"/>
      <c r="D195" t="s">
        <v>332</v>
      </c>
      <c r="T195" s="1415" t="s">
        <v>553</v>
      </c>
      <c r="U195" s="1415"/>
      <c r="W195" t="s">
        <v>692</v>
      </c>
      <c r="AH195" s="1415">
        <v>19</v>
      </c>
      <c r="AI195" s="1415"/>
      <c r="BC195" t="s">
        <v>2045</v>
      </c>
      <c r="BN195" s="23" t="s">
        <v>243</v>
      </c>
      <c r="BT195" t="s">
        <v>739</v>
      </c>
    </row>
    <row r="196" spans="1:74" ht="13.05" customHeight="1">
      <c r="C196" s="21"/>
      <c r="D196" t="s">
        <v>387</v>
      </c>
      <c r="T196" s="1560" t="s">
        <v>676</v>
      </c>
      <c r="U196" s="1560"/>
      <c r="W196" t="s">
        <v>693</v>
      </c>
      <c r="AH196" s="1415">
        <v>28</v>
      </c>
      <c r="AI196" s="1415"/>
      <c r="BN196" s="23" t="s">
        <v>244</v>
      </c>
      <c r="BT196" t="s">
        <v>69</v>
      </c>
    </row>
    <row r="197" spans="1:74" ht="13.05" customHeight="1">
      <c r="C197" s="21"/>
      <c r="D197" s="3" t="s">
        <v>169</v>
      </c>
      <c r="T197" s="1560" t="s">
        <v>676</v>
      </c>
      <c r="U197" s="1560"/>
      <c r="W197" t="s">
        <v>694</v>
      </c>
      <c r="AH197" s="1415">
        <v>17</v>
      </c>
      <c r="AI197" s="1415"/>
      <c r="BC197" t="s">
        <v>308</v>
      </c>
      <c r="BN197" s="23" t="s">
        <v>245</v>
      </c>
      <c r="BT197" t="s">
        <v>70</v>
      </c>
    </row>
    <row r="198" spans="1:74" s="14" customFormat="1" ht="13.05" customHeight="1">
      <c r="A198"/>
      <c r="B198"/>
      <c r="C198" s="21"/>
      <c r="D198" s="3" t="s">
        <v>1762</v>
      </c>
      <c r="E198"/>
      <c r="F198"/>
      <c r="G198"/>
      <c r="H198"/>
      <c r="I198"/>
      <c r="J198"/>
      <c r="K198"/>
      <c r="L198"/>
      <c r="M198"/>
      <c r="N198"/>
      <c r="O198"/>
      <c r="P198"/>
      <c r="Q198"/>
      <c r="R198"/>
      <c r="S198"/>
      <c r="T198" s="1560" t="s">
        <v>599</v>
      </c>
      <c r="U198" s="1560"/>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3.05" customHeight="1">
      <c r="A199"/>
      <c r="B199"/>
      <c r="C199" s="21"/>
      <c r="D199" s="118" t="s">
        <v>2524</v>
      </c>
      <c r="E199"/>
      <c r="F199"/>
      <c r="G199"/>
      <c r="H199"/>
      <c r="I199"/>
      <c r="J199"/>
      <c r="K199"/>
      <c r="L199"/>
      <c r="M199"/>
      <c r="N199"/>
      <c r="O199"/>
      <c r="P199"/>
      <c r="Q199"/>
      <c r="R199"/>
      <c r="S199"/>
      <c r="T199"/>
      <c r="U199"/>
      <c r="V199"/>
      <c r="W199"/>
      <c r="Z199" s="1415" t="s">
        <v>553</v>
      </c>
      <c r="AA199" s="1415"/>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3.0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194</v>
      </c>
      <c r="BU200"/>
    </row>
    <row r="201" spans="1:74" s="14" customFormat="1" ht="13.0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708</v>
      </c>
      <c r="BO201" s="31"/>
      <c r="BP201" s="32"/>
      <c r="BQ201" s="32"/>
      <c r="BR201" s="32"/>
      <c r="BS201" s="32"/>
      <c r="BT201" s="32" t="s">
        <v>195</v>
      </c>
      <c r="BU201"/>
    </row>
    <row r="202" spans="1:74" ht="13.05" customHeight="1">
      <c r="C202" s="21"/>
      <c r="D202" s="546"/>
      <c r="BC202" t="s">
        <v>1090</v>
      </c>
      <c r="BD202" s="469"/>
      <c r="BN202" s="23" t="s">
        <v>709</v>
      </c>
      <c r="BO202" s="14"/>
      <c r="BP202" s="32"/>
      <c r="BQ202" s="32"/>
      <c r="BR202" s="32"/>
      <c r="BS202" s="32"/>
      <c r="BT202" s="32" t="s">
        <v>196</v>
      </c>
    </row>
    <row r="203" spans="1:74" ht="13.05" customHeight="1">
      <c r="A203" s="2" t="s">
        <v>594</v>
      </c>
      <c r="C203" s="2" t="s">
        <v>136</v>
      </c>
      <c r="BC203" t="s">
        <v>1091</v>
      </c>
      <c r="BN203" s="23" t="s">
        <v>710</v>
      </c>
      <c r="BO203" s="14"/>
      <c r="BP203" s="32"/>
      <c r="BQ203" s="32"/>
      <c r="BR203" s="32"/>
      <c r="BS203" s="32"/>
      <c r="BT203" s="32" t="s">
        <v>197</v>
      </c>
    </row>
    <row r="204" spans="1:74" ht="13.05" customHeight="1">
      <c r="D204" s="1417" t="s">
        <v>386</v>
      </c>
      <c r="E204" s="1417"/>
      <c r="F204" s="1417"/>
      <c r="G204" s="1417"/>
      <c r="H204" s="1417"/>
      <c r="I204" s="1417"/>
      <c r="J204" s="1417"/>
      <c r="K204" s="1417"/>
      <c r="L204" s="1417"/>
      <c r="M204" s="1417"/>
      <c r="P204" s="1855">
        <f>M26</f>
        <v>3896318</v>
      </c>
      <c r="Q204" s="1842"/>
      <c r="R204" s="1842"/>
      <c r="S204" s="1842"/>
      <c r="T204" s="1842"/>
      <c r="U204" s="1842"/>
      <c r="BC204" t="s">
        <v>618</v>
      </c>
      <c r="BN204" s="23" t="s">
        <v>711</v>
      </c>
      <c r="BT204" s="32" t="s">
        <v>198</v>
      </c>
      <c r="BU204" s="14"/>
    </row>
    <row r="205" spans="1:74" ht="13.05" customHeight="1">
      <c r="C205" s="21"/>
      <c r="D205" s="1841" t="s">
        <v>1354</v>
      </c>
      <c r="E205" s="1417"/>
      <c r="F205" s="1417"/>
      <c r="G205" s="1417"/>
      <c r="H205" s="1417"/>
      <c r="I205" s="1417"/>
      <c r="J205" s="1417"/>
      <c r="K205" s="1417"/>
      <c r="L205" s="1417"/>
      <c r="M205" s="1417"/>
      <c r="P205" s="1842">
        <f>M27</f>
        <v>16138146</v>
      </c>
      <c r="Q205" s="1842"/>
      <c r="R205" s="1842"/>
      <c r="S205" s="1842"/>
      <c r="T205" s="1842"/>
      <c r="U205" s="1842"/>
      <c r="V205" s="28"/>
      <c r="W205" s="3" t="s">
        <v>1907</v>
      </c>
      <c r="Z205" s="1829" t="s">
        <v>2621</v>
      </c>
      <c r="AA205" s="1829"/>
      <c r="AB205" s="1829"/>
      <c r="AC205" s="1829"/>
      <c r="AD205" s="1829"/>
      <c r="AE205" s="1829"/>
      <c r="AF205" s="1829"/>
      <c r="AG205" s="1829"/>
      <c r="AH205" s="1829"/>
      <c r="AI205" s="1829"/>
      <c r="AJ205" s="1829"/>
      <c r="AK205" s="1829"/>
      <c r="AL205" s="1829"/>
      <c r="AM205" s="1829"/>
      <c r="AN205" s="1829"/>
      <c r="AP205" s="1303"/>
      <c r="AQ205" s="1303"/>
      <c r="BC205" t="s">
        <v>1049</v>
      </c>
      <c r="BN205" s="23" t="s">
        <v>109</v>
      </c>
      <c r="BT205" s="32" t="s">
        <v>174</v>
      </c>
      <c r="BU205" s="14"/>
    </row>
    <row r="206" spans="1:74" ht="13.05"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3.05" customHeight="1">
      <c r="A207" s="2" t="s">
        <v>597</v>
      </c>
      <c r="C207" s="2" t="s">
        <v>559</v>
      </c>
      <c r="BC207" s="3" t="s">
        <v>2564</v>
      </c>
      <c r="BN207" s="23" t="s">
        <v>45</v>
      </c>
      <c r="BT207" s="32" t="s">
        <v>200</v>
      </c>
    </row>
    <row r="208" spans="1:74" ht="13.05" customHeight="1">
      <c r="C208" s="21"/>
      <c r="D208" s="1433" t="s">
        <v>2636</v>
      </c>
      <c r="E208" s="1433"/>
      <c r="F208" s="1433"/>
      <c r="G208" s="1433"/>
      <c r="H208" s="1433"/>
      <c r="I208" s="1433"/>
      <c r="J208" s="1433"/>
      <c r="K208" s="1433"/>
      <c r="L208" s="1433"/>
      <c r="M208" s="1433"/>
      <c r="BC208" t="s">
        <v>1093</v>
      </c>
      <c r="BN208" s="23" t="s">
        <v>46</v>
      </c>
      <c r="BT208" s="32" t="s">
        <v>201</v>
      </c>
    </row>
    <row r="209" spans="1:72" ht="13.05" customHeight="1">
      <c r="BC209" t="s">
        <v>666</v>
      </c>
      <c r="BN209" s="23" t="s">
        <v>47</v>
      </c>
      <c r="BT209" s="32" t="s">
        <v>202</v>
      </c>
    </row>
    <row r="210" spans="1:72" ht="13.05" customHeight="1">
      <c r="A210" s="2" t="s">
        <v>598</v>
      </c>
      <c r="C210" s="2" t="s">
        <v>389</v>
      </c>
      <c r="BN210" s="23" t="s">
        <v>48</v>
      </c>
      <c r="BT210" s="32" t="s">
        <v>203</v>
      </c>
    </row>
    <row r="211" spans="1:72" ht="13.05" customHeight="1">
      <c r="C211" s="21"/>
      <c r="D211" s="1433" t="s">
        <v>1064</v>
      </c>
      <c r="E211" s="1433"/>
      <c r="F211" s="1433"/>
      <c r="G211" s="1433"/>
      <c r="H211" s="1433"/>
      <c r="I211" s="1433"/>
      <c r="J211" s="1433"/>
      <c r="K211" s="1433"/>
      <c r="L211" s="1433"/>
      <c r="M211" s="1433"/>
      <c r="BN211" s="23" t="s">
        <v>129</v>
      </c>
      <c r="BT211" s="32" t="s">
        <v>130</v>
      </c>
    </row>
    <row r="212" spans="1:72" ht="13.05" customHeight="1">
      <c r="C212" s="21"/>
      <c r="D212" t="s">
        <v>1351</v>
      </c>
      <c r="Y212" s="1415"/>
      <c r="Z212" s="1415"/>
      <c r="AB212" s="1856">
        <f>IFERROR(Y212/AG440,"")</f>
        <v>0</v>
      </c>
      <c r="AC212" s="1857"/>
      <c r="BC212" t="s">
        <v>308</v>
      </c>
      <c r="BI212" t="s">
        <v>1289</v>
      </c>
      <c r="BN212" s="23" t="s">
        <v>49</v>
      </c>
      <c r="BT212" s="32" t="s">
        <v>204</v>
      </c>
    </row>
    <row r="213" spans="1:72" ht="13.05" customHeight="1">
      <c r="D213" s="1189" t="s">
        <v>1738</v>
      </c>
      <c r="BC213" t="s">
        <v>534</v>
      </c>
      <c r="BI213" t="s">
        <v>2621</v>
      </c>
      <c r="BN213" s="23" t="s">
        <v>50</v>
      </c>
      <c r="BT213" s="32" t="s">
        <v>205</v>
      </c>
    </row>
    <row r="214" spans="1:72" ht="13.05" customHeight="1">
      <c r="D214" s="1852" t="s">
        <v>599</v>
      </c>
      <c r="E214" s="1852"/>
      <c r="F214" s="1852"/>
      <c r="G214" s="1852"/>
      <c r="H214" s="1852"/>
      <c r="I214" s="1852"/>
      <c r="J214" s="1852"/>
      <c r="K214" s="1852"/>
      <c r="L214" s="1852"/>
      <c r="M214" s="1852"/>
      <c r="N214" s="1852"/>
      <c r="O214" s="1852"/>
      <c r="P214" s="1852"/>
      <c r="Q214" s="1852"/>
      <c r="R214" s="1852"/>
      <c r="S214" s="1852"/>
      <c r="T214" s="1852"/>
      <c r="U214" s="1852"/>
      <c r="V214" s="1852"/>
      <c r="W214" s="1852"/>
      <c r="X214" s="1852"/>
      <c r="Y214" s="1852"/>
      <c r="Z214" s="1852"/>
      <c r="AU214" s="21"/>
      <c r="AV214" s="21"/>
      <c r="AW214" s="21"/>
      <c r="AX214" s="21"/>
      <c r="AY214" s="21"/>
      <c r="BC214" t="s">
        <v>538</v>
      </c>
      <c r="BI214" t="s">
        <v>2627</v>
      </c>
      <c r="BN214" s="23" t="s">
        <v>327</v>
      </c>
      <c r="BT214" s="32" t="s">
        <v>206</v>
      </c>
    </row>
    <row r="215" spans="1:72" ht="13.05" customHeight="1">
      <c r="D215" s="3" t="s">
        <v>1763</v>
      </c>
      <c r="Z215" s="40"/>
      <c r="AB215" s="1851"/>
      <c r="AC215" s="1851"/>
      <c r="AD215" s="1851"/>
      <c r="AE215" s="1851"/>
      <c r="AF215" s="1851"/>
      <c r="AG215" s="1851"/>
      <c r="AH215" s="1851"/>
      <c r="AI215" s="1851"/>
      <c r="AJ215" s="1851"/>
      <c r="AK215" s="1851"/>
      <c r="AL215" s="1851"/>
      <c r="AM215" s="21"/>
      <c r="AN215" s="21"/>
      <c r="AO215" s="21"/>
      <c r="AP215" s="21"/>
      <c r="AQ215" s="21"/>
      <c r="AR215" s="21"/>
      <c r="AS215" s="21"/>
      <c r="AT215" s="21"/>
      <c r="AU215" s="21"/>
      <c r="AV215" s="21"/>
      <c r="AW215" s="21"/>
      <c r="AX215" s="21"/>
      <c r="AY215" s="21"/>
      <c r="BC215" t="s">
        <v>535</v>
      </c>
      <c r="BI215" s="3" t="s">
        <v>2633</v>
      </c>
    </row>
    <row r="216" spans="1:72" ht="13.05" customHeight="1">
      <c r="D216" s="3" t="s">
        <v>1761</v>
      </c>
      <c r="Z216" s="40"/>
      <c r="AB216" s="1851"/>
      <c r="AC216" s="1851"/>
      <c r="AD216" s="1851"/>
      <c r="AE216" s="1851"/>
      <c r="AF216" s="1851"/>
      <c r="AG216" s="1851"/>
      <c r="AH216" s="1851"/>
      <c r="AI216" s="1851"/>
      <c r="AJ216" s="1851"/>
      <c r="AK216" s="1851"/>
      <c r="AL216" s="1851"/>
      <c r="AM216" s="21"/>
      <c r="AN216" s="21"/>
      <c r="AO216" s="21"/>
      <c r="AP216" s="21"/>
      <c r="AQ216" s="21"/>
      <c r="AR216" s="21"/>
      <c r="AS216" s="21"/>
      <c r="AT216" s="21"/>
      <c r="AU216" s="21"/>
      <c r="AV216" s="21"/>
      <c r="AW216" s="21"/>
      <c r="AX216" s="21"/>
      <c r="AY216" s="21"/>
      <c r="BC216" t="s">
        <v>574</v>
      </c>
      <c r="BI216" s="3" t="s">
        <v>2622</v>
      </c>
    </row>
    <row r="217" spans="1:72" ht="13.0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2623</v>
      </c>
    </row>
    <row r="218" spans="1:72" ht="13.05" customHeight="1">
      <c r="A218" s="2" t="s">
        <v>600</v>
      </c>
      <c r="C218" s="2" t="s">
        <v>1327</v>
      </c>
      <c r="D218" s="28"/>
      <c r="BC218" t="s">
        <v>537</v>
      </c>
    </row>
    <row r="219" spans="1:72" ht="13.05" customHeight="1">
      <c r="A219" s="2"/>
      <c r="C219" s="2"/>
      <c r="D219" s="4" t="s">
        <v>1007</v>
      </c>
      <c r="AZ219" s="3"/>
      <c r="BA219" s="3"/>
      <c r="BC219" t="s">
        <v>378</v>
      </c>
    </row>
    <row r="220" spans="1:72" ht="13.05" customHeight="1">
      <c r="A220" s="2"/>
      <c r="C220" s="2"/>
      <c r="D220" s="1433" t="s">
        <v>2564</v>
      </c>
      <c r="E220" s="1433"/>
      <c r="F220" s="1433"/>
      <c r="G220" s="1433"/>
      <c r="H220" s="1433"/>
      <c r="I220" s="1433"/>
      <c r="J220" s="1433"/>
      <c r="K220" s="1433"/>
      <c r="L220" s="1433"/>
      <c r="M220" s="1433"/>
      <c r="N220" s="1433"/>
      <c r="O220" s="1433"/>
      <c r="P220" s="1433"/>
      <c r="Q220" s="1433"/>
      <c r="R220" s="1433"/>
      <c r="S220" s="1433"/>
      <c r="T220" s="1433"/>
      <c r="U220" s="1433"/>
      <c r="V220" s="1433"/>
      <c r="W220" s="1433"/>
      <c r="X220" s="1433"/>
      <c r="Y220" s="1433"/>
      <c r="Z220" s="1433"/>
      <c r="BA220" s="3"/>
      <c r="BC220" t="s">
        <v>301</v>
      </c>
    </row>
    <row r="221" spans="1:72" ht="13.05" customHeight="1">
      <c r="A221" s="2"/>
      <c r="B221" s="14"/>
      <c r="C221" s="2"/>
      <c r="AU221" s="95"/>
      <c r="AV221" s="95"/>
      <c r="AW221" s="95"/>
      <c r="AX221" s="95"/>
      <c r="AY221" s="95"/>
      <c r="BA221" s="3"/>
    </row>
    <row r="222" spans="1:72" ht="13.05" customHeight="1">
      <c r="A222" s="1434" t="s">
        <v>548</v>
      </c>
      <c r="B222" s="1434"/>
      <c r="C222" s="1434"/>
      <c r="D222" s="1434"/>
      <c r="E222" s="1434"/>
      <c r="F222" s="1434"/>
      <c r="G222" s="1434"/>
      <c r="H222" s="1434"/>
      <c r="I222" s="1434"/>
      <c r="J222" s="1434"/>
      <c r="K222" s="1434"/>
      <c r="L222" s="1434"/>
      <c r="M222" s="1434"/>
      <c r="N222" s="1434"/>
      <c r="O222" s="1434"/>
      <c r="P222" s="1434"/>
      <c r="Q222" s="1434"/>
      <c r="R222" s="1434"/>
      <c r="S222" s="1434"/>
      <c r="T222" s="1434"/>
      <c r="U222" s="1434"/>
      <c r="V222" s="1434"/>
      <c r="W222" s="1434"/>
      <c r="X222" s="1434"/>
      <c r="Y222" s="1434"/>
      <c r="Z222" s="1434"/>
      <c r="AA222" s="1434"/>
      <c r="AB222" s="1434"/>
      <c r="AC222" s="1434"/>
      <c r="AD222" s="1434"/>
      <c r="AE222" s="1434"/>
      <c r="AF222" s="1434"/>
      <c r="AG222" s="1434"/>
      <c r="AH222" s="1434"/>
      <c r="AI222" s="1434"/>
      <c r="AJ222" s="1434"/>
      <c r="AK222" s="1434"/>
      <c r="AL222" s="1434"/>
      <c r="AM222" s="1434"/>
      <c r="AN222" s="1434"/>
      <c r="AO222" s="1434"/>
      <c r="AP222" s="1434"/>
      <c r="AQ222" s="1434"/>
      <c r="AR222" s="1434"/>
      <c r="AS222" s="1434"/>
      <c r="AT222" s="1434"/>
      <c r="AU222" s="95"/>
      <c r="AV222" s="95"/>
      <c r="AW222" s="95"/>
      <c r="AX222" s="95"/>
      <c r="AY222" s="95"/>
      <c r="AZ222" s="3"/>
      <c r="BA222" s="3"/>
      <c r="BP222" s="34"/>
    </row>
    <row r="223" spans="1:72" ht="13.05" customHeight="1">
      <c r="A223" s="1434"/>
      <c r="B223" s="1434"/>
      <c r="C223" s="1434"/>
      <c r="D223" s="1434"/>
      <c r="E223" s="1434"/>
      <c r="F223" s="1434"/>
      <c r="G223" s="1434"/>
      <c r="H223" s="1434"/>
      <c r="I223" s="1434"/>
      <c r="J223" s="1434"/>
      <c r="K223" s="1434"/>
      <c r="L223" s="1434"/>
      <c r="M223" s="1434"/>
      <c r="N223" s="1434"/>
      <c r="O223" s="1434"/>
      <c r="P223" s="1434"/>
      <c r="Q223" s="1434"/>
      <c r="R223" s="1434"/>
      <c r="S223" s="1434"/>
      <c r="T223" s="1434"/>
      <c r="U223" s="1434"/>
      <c r="V223" s="1434"/>
      <c r="W223" s="1434"/>
      <c r="X223" s="1434"/>
      <c r="Y223" s="1434"/>
      <c r="Z223" s="1434"/>
      <c r="AA223" s="1434"/>
      <c r="AB223" s="1434"/>
      <c r="AC223" s="1434"/>
      <c r="AD223" s="1434"/>
      <c r="AE223" s="1434"/>
      <c r="AF223" s="1434"/>
      <c r="AG223" s="1434"/>
      <c r="AH223" s="1434"/>
      <c r="AI223" s="1434"/>
      <c r="AJ223" s="1434"/>
      <c r="AK223" s="1434"/>
      <c r="AL223" s="1434"/>
      <c r="AM223" s="1434"/>
      <c r="AN223" s="1434"/>
      <c r="AO223" s="1434"/>
      <c r="AP223" s="1434"/>
      <c r="AQ223" s="1434"/>
      <c r="AR223" s="1434"/>
      <c r="AS223" s="1434"/>
      <c r="AT223" s="1434"/>
      <c r="BA223" s="3"/>
      <c r="BB223" s="3"/>
      <c r="BQ223" s="34"/>
    </row>
    <row r="224" spans="1:72" ht="13.05" customHeight="1">
      <c r="AZ224" s="4"/>
      <c r="BA224" s="3"/>
      <c r="BB224" s="3"/>
      <c r="BQ224" s="34"/>
    </row>
    <row r="225" spans="1:69" ht="13.05" customHeight="1">
      <c r="A225" s="2" t="s">
        <v>320</v>
      </c>
      <c r="B225" s="2"/>
      <c r="C225" s="2" t="s">
        <v>2393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0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599</v>
      </c>
      <c r="AJ226" s="1415"/>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0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553</v>
      </c>
      <c r="AJ227" s="1415"/>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0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599</v>
      </c>
      <c r="AJ228" s="1415"/>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2</v>
      </c>
      <c r="BQ228" s="34"/>
    </row>
    <row r="229" spans="1:69" ht="13.0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599</v>
      </c>
      <c r="AJ229" s="1415"/>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3.0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05" customHeight="1">
      <c r="A231" s="2" t="s">
        <v>584</v>
      </c>
      <c r="B231" s="4"/>
      <c r="C231" s="2" t="s">
        <v>2394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05" customHeight="1">
      <c r="D232" s="4" t="s">
        <v>478</v>
      </c>
      <c r="E232" s="4"/>
      <c r="F232" s="4"/>
      <c r="G232" s="4"/>
      <c r="H232" s="4"/>
      <c r="I232" s="4"/>
      <c r="J232" s="4"/>
      <c r="K232" s="4"/>
      <c r="M232" s="1848" t="str">
        <f>H16</f>
        <v>4575 Scotts Valley Apartments LP</v>
      </c>
      <c r="N232" s="1848"/>
      <c r="O232" s="1848"/>
      <c r="P232" s="1848"/>
      <c r="Q232" s="1848"/>
      <c r="R232" s="1848"/>
      <c r="S232" s="1848"/>
      <c r="T232" s="1848"/>
      <c r="U232" s="1848"/>
      <c r="V232" s="1848"/>
      <c r="W232" s="1848"/>
      <c r="X232" s="1848"/>
      <c r="Y232" s="1848"/>
      <c r="Z232" s="1848"/>
      <c r="AA232" s="1848"/>
      <c r="AB232" s="1848"/>
      <c r="AC232" s="1848"/>
      <c r="AD232" s="1848"/>
      <c r="AE232" s="1848"/>
      <c r="AF232" s="1848"/>
      <c r="AG232" s="1848"/>
      <c r="AH232" s="1848"/>
      <c r="AI232" s="1848"/>
      <c r="AJ232" s="1848"/>
      <c r="AK232" s="1848"/>
      <c r="AZ232" s="4"/>
      <c r="BA232" s="3"/>
      <c r="BB232" s="219" t="s">
        <v>546</v>
      </c>
      <c r="BG232" s="259">
        <f>IF(AND(AND($M$249="nonprofit",$M$257="nonprofit",$M$265="for profit")),2,0)</f>
        <v>0</v>
      </c>
      <c r="BQ232" s="34"/>
    </row>
    <row r="233" spans="1:69" ht="13.05" customHeight="1">
      <c r="D233" s="4" t="s">
        <v>85</v>
      </c>
      <c r="E233" s="4"/>
      <c r="F233" s="4"/>
      <c r="G233" s="4"/>
      <c r="H233" s="4"/>
      <c r="I233" s="4"/>
      <c r="J233" s="4"/>
      <c r="K233" s="4"/>
      <c r="M233" s="1432" t="str">
        <f>M252</f>
        <v>122 East 42 nd ST, STE 1903</v>
      </c>
      <c r="N233" s="1433"/>
      <c r="O233" s="1433"/>
      <c r="P233" s="1433"/>
      <c r="Q233" s="1433"/>
      <c r="R233" s="1433"/>
      <c r="S233" s="1433"/>
      <c r="T233" s="1433"/>
      <c r="U233" s="1433"/>
      <c r="V233" s="1433"/>
      <c r="W233" s="1433"/>
      <c r="X233" s="1433"/>
      <c r="Y233" s="1433"/>
      <c r="Z233" s="1433"/>
      <c r="AA233" s="1433"/>
      <c r="AB233" s="1433"/>
      <c r="AC233" s="1433"/>
      <c r="AD233" s="1433"/>
      <c r="AE233" s="1433"/>
      <c r="BB233" s="219" t="s">
        <v>546</v>
      </c>
      <c r="BG233" s="259">
        <f>IF(AND(AND($M$249="nonprofit",$M$257="for profit",$M$265="nonprofit")),2,0)</f>
        <v>0</v>
      </c>
    </row>
    <row r="234" spans="1:69" ht="13.05" customHeight="1">
      <c r="D234" s="4" t="s">
        <v>588</v>
      </c>
      <c r="E234" s="4"/>
      <c r="M234" s="1432" t="str">
        <f>M253</f>
        <v>New York</v>
      </c>
      <c r="N234" s="1433"/>
      <c r="O234" s="1433"/>
      <c r="P234" s="1433"/>
      <c r="Q234" s="1433"/>
      <c r="R234" s="1433"/>
      <c r="S234" s="1433"/>
      <c r="T234" s="1433"/>
      <c r="V234" s="33" t="s">
        <v>86</v>
      </c>
      <c r="W234" s="1410" t="s">
        <v>2641</v>
      </c>
      <c r="X234" s="1441"/>
      <c r="Y234" s="4" t="s">
        <v>591</v>
      </c>
      <c r="AC234" s="1433">
        <v>10168</v>
      </c>
      <c r="AD234" s="1433"/>
      <c r="AE234" s="1433"/>
      <c r="AU234" s="4"/>
      <c r="AV234" s="4"/>
      <c r="AW234" s="4"/>
      <c r="AX234" s="4"/>
      <c r="AY234" s="4"/>
      <c r="AZ234" s="4"/>
      <c r="BB234" s="219" t="s">
        <v>546</v>
      </c>
      <c r="BG234" s="258">
        <f>IF(AND(AND($M$249="for profit",$M$257="nonprofit",$M$265="nonprofit")),2,0)</f>
        <v>0</v>
      </c>
      <c r="BO234" s="34"/>
    </row>
    <row r="235" spans="1:69" ht="13.05" customHeight="1">
      <c r="D235" s="4" t="s">
        <v>87</v>
      </c>
      <c r="E235" s="4"/>
      <c r="F235" s="4"/>
      <c r="G235" s="4"/>
      <c r="H235" s="4"/>
      <c r="I235" s="4"/>
      <c r="J235" s="4"/>
      <c r="K235" s="19"/>
      <c r="M235" s="1432" t="str">
        <f>M254</f>
        <v xml:space="preserve">Paul Salib </v>
      </c>
      <c r="N235" s="1433"/>
      <c r="O235" s="1433"/>
      <c r="P235" s="1433"/>
      <c r="Q235" s="1433"/>
      <c r="R235" s="1433"/>
      <c r="S235" s="1433"/>
      <c r="T235" s="1433"/>
      <c r="U235" s="1433"/>
      <c r="V235" s="1433"/>
      <c r="W235" s="1433"/>
      <c r="X235" s="1433"/>
      <c r="Y235" s="1433"/>
      <c r="Z235" s="1433"/>
      <c r="AA235" s="1433"/>
      <c r="AB235" s="1433"/>
      <c r="AC235" s="1433"/>
      <c r="AD235" s="1433"/>
      <c r="AE235" s="1433"/>
      <c r="AI235" s="4"/>
      <c r="AJ235" s="4"/>
      <c r="AK235" s="4"/>
      <c r="AL235" s="4"/>
      <c r="AM235" s="4"/>
      <c r="AN235" s="4"/>
      <c r="AO235" s="4"/>
      <c r="AP235" s="4"/>
      <c r="AQ235" s="4"/>
      <c r="AR235" s="4"/>
      <c r="AS235" s="4"/>
      <c r="AT235" s="4"/>
      <c r="BB235" s="219"/>
      <c r="BG235" s="218"/>
    </row>
    <row r="236" spans="1:69" ht="13.05" customHeight="1">
      <c r="D236" s="4" t="s">
        <v>88</v>
      </c>
      <c r="E236" s="4"/>
      <c r="F236" s="4"/>
      <c r="M236" s="1635" t="str">
        <f>M255</f>
        <v>212-776-1914</v>
      </c>
      <c r="N236" s="1477"/>
      <c r="O236" s="1477"/>
      <c r="P236" s="1477"/>
      <c r="Q236" s="1477"/>
      <c r="R236" s="1477"/>
      <c r="S236" s="4" t="s">
        <v>207</v>
      </c>
      <c r="T236" s="4"/>
      <c r="U236" s="1441"/>
      <c r="V236" s="1441"/>
      <c r="W236" s="1441"/>
      <c r="X236" s="4" t="s">
        <v>89</v>
      </c>
      <c r="Z236" s="1477"/>
      <c r="AA236" s="1477"/>
      <c r="AB236" s="1477"/>
      <c r="AC236" s="1477"/>
      <c r="AD236" s="1477"/>
      <c r="AE236" s="1477"/>
      <c r="AU236" s="4"/>
      <c r="AV236" s="4"/>
      <c r="AW236" s="4"/>
      <c r="AX236" s="4"/>
      <c r="AY236" s="4"/>
      <c r="AZ236" s="4"/>
      <c r="BB236" s="218" t="s">
        <v>545</v>
      </c>
      <c r="BG236" s="259">
        <f>IF(AND(AND($M$249="nonprofit",$M$257="nonprofit",$M$265="(select one)")),1,0)</f>
        <v>0</v>
      </c>
    </row>
    <row r="237" spans="1:69" ht="13.05" customHeight="1">
      <c r="D237" s="4" t="s">
        <v>90</v>
      </c>
      <c r="E237" s="4"/>
      <c r="F237" s="4"/>
      <c r="M237" s="1826" t="str">
        <f>M256</f>
        <v>psalib@crpaffrodable.com</v>
      </c>
      <c r="N237" s="1826"/>
      <c r="O237" s="1826"/>
      <c r="P237" s="1826"/>
      <c r="Q237" s="1826"/>
      <c r="R237" s="1826"/>
      <c r="S237" s="1826"/>
      <c r="T237" s="1826"/>
      <c r="U237" s="1826"/>
      <c r="V237" s="1826"/>
      <c r="W237" s="1826"/>
      <c r="X237" s="1826"/>
      <c r="Y237" s="1826"/>
      <c r="Z237" s="1826"/>
      <c r="AA237" s="1826"/>
      <c r="AB237" s="1826"/>
      <c r="AC237" s="1826"/>
      <c r="AD237" s="1826"/>
      <c r="AE237" s="1826"/>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05" customHeight="1">
      <c r="A238" s="2" t="s">
        <v>594</v>
      </c>
      <c r="C238" s="2" t="s">
        <v>533</v>
      </c>
      <c r="M238" s="1411" t="s">
        <v>536</v>
      </c>
      <c r="N238" s="1411"/>
      <c r="O238" s="1411"/>
      <c r="P238" s="1411"/>
      <c r="Q238" s="1411"/>
      <c r="R238" s="1411"/>
      <c r="S238" s="1411"/>
      <c r="T238" s="1411"/>
      <c r="U238" s="218" t="s">
        <v>920</v>
      </c>
      <c r="V238" s="218"/>
      <c r="W238" s="218"/>
      <c r="X238" s="218"/>
      <c r="Y238" s="218"/>
      <c r="Z238" s="218"/>
      <c r="AA238" s="1827" t="s">
        <v>2640</v>
      </c>
      <c r="AB238" s="1828"/>
      <c r="AC238" s="1828"/>
      <c r="AD238" s="1828"/>
      <c r="AE238" s="1828"/>
      <c r="AF238" s="1828"/>
      <c r="AG238" s="1828"/>
      <c r="AH238" s="1828"/>
      <c r="AI238" s="1828"/>
      <c r="AJ238" s="1828"/>
      <c r="AK238" s="1828"/>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05" customHeight="1">
      <c r="D239" t="s">
        <v>539</v>
      </c>
      <c r="M239" s="1416"/>
      <c r="N239" s="1416"/>
      <c r="O239" s="1416"/>
      <c r="P239" s="1416"/>
      <c r="Q239" s="1416"/>
      <c r="R239" s="1416"/>
      <c r="S239" s="1416"/>
      <c r="T239" s="1416"/>
      <c r="U239" s="1416"/>
      <c r="V239" s="1416"/>
      <c r="W239" s="1416"/>
      <c r="X239" s="1416"/>
      <c r="Y239" s="1416"/>
      <c r="Z239" s="1416"/>
      <c r="AA239" s="1416"/>
      <c r="AB239" s="1416"/>
      <c r="AC239" s="1416"/>
      <c r="AD239" s="1416"/>
      <c r="AE239" s="1416"/>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3.05" customHeight="1">
      <c r="D240" s="4"/>
      <c r="BB240" s="218" t="s">
        <v>888</v>
      </c>
      <c r="BG240" s="259">
        <f>IF(AND(AND($M$249="for profit",$M$257="for profit",$M$265="for profit")),3,0)</f>
        <v>0</v>
      </c>
    </row>
    <row r="241" spans="1:71" ht="13.05" customHeight="1">
      <c r="A241" s="2" t="s">
        <v>597</v>
      </c>
      <c r="C241" s="2" t="s">
        <v>1288</v>
      </c>
      <c r="D241" s="4"/>
      <c r="L241" s="8"/>
      <c r="M241" s="8"/>
      <c r="N241" s="8"/>
      <c r="AU241" s="3"/>
      <c r="AV241" s="3"/>
      <c r="AW241" s="3"/>
      <c r="AX241" s="3"/>
      <c r="AY241" s="3"/>
      <c r="BB241" s="218" t="s">
        <v>888</v>
      </c>
      <c r="BG241" s="259">
        <f>IF(AND(AND($M$249="for profit",$M$257="(select one)",$M$265="(select one)")),3,0)</f>
        <v>0</v>
      </c>
    </row>
    <row r="242" spans="1:71" ht="13.0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05" customHeight="1">
      <c r="A243" s="19"/>
      <c r="B243" s="4"/>
      <c r="C243" s="56" t="s">
        <v>481</v>
      </c>
      <c r="D243" s="4" t="s">
        <v>540</v>
      </c>
      <c r="E243" s="4"/>
      <c r="F243" s="4"/>
      <c r="G243" s="4"/>
      <c r="H243" s="4"/>
      <c r="I243" s="4"/>
      <c r="J243" s="4"/>
      <c r="K243" s="4"/>
      <c r="L243" s="4"/>
      <c r="M243" s="1442" t="s">
        <v>2730</v>
      </c>
      <c r="N243" s="1831"/>
      <c r="O243" s="1831"/>
      <c r="P243" s="1831"/>
      <c r="Q243" s="1831"/>
      <c r="R243" s="1831"/>
      <c r="S243" s="1831"/>
      <c r="T243" s="1831"/>
      <c r="U243" s="1831"/>
      <c r="V243" s="1831"/>
      <c r="W243" s="1831"/>
      <c r="X243" s="1831"/>
      <c r="Y243" s="1831"/>
      <c r="Z243" s="1831"/>
      <c r="AA243" s="1831"/>
      <c r="AB243" s="1831"/>
      <c r="AC243" s="1831"/>
      <c r="AD243" s="1831"/>
      <c r="AE243" s="1831"/>
      <c r="AF243" s="1831" t="s">
        <v>2642</v>
      </c>
      <c r="AG243" s="1831"/>
      <c r="AH243" s="1831"/>
      <c r="AI243" s="1831"/>
      <c r="AJ243" s="1831"/>
      <c r="AK243" s="1831"/>
      <c r="AU243" s="4"/>
      <c r="AV243" s="4"/>
      <c r="AW243" s="4"/>
      <c r="AX243" s="4"/>
      <c r="AY243" s="4"/>
      <c r="BG243">
        <f>SUM(BG226:BG241)</f>
        <v>2</v>
      </c>
    </row>
    <row r="244" spans="1:71" ht="13.05" customHeight="1">
      <c r="A244" s="19"/>
      <c r="B244" s="4"/>
      <c r="C244" s="4"/>
      <c r="D244" s="4" t="s">
        <v>85</v>
      </c>
      <c r="E244" s="4"/>
      <c r="F244" s="4"/>
      <c r="G244" s="4"/>
      <c r="H244" s="4"/>
      <c r="I244" s="4"/>
      <c r="J244" s="4"/>
      <c r="K244" s="4"/>
      <c r="L244" s="4"/>
      <c r="M244" s="1432" t="s">
        <v>2772</v>
      </c>
      <c r="N244" s="1433"/>
      <c r="O244" s="1433"/>
      <c r="P244" s="1433"/>
      <c r="Q244" s="1433"/>
      <c r="R244" s="1433"/>
      <c r="S244" s="1433"/>
      <c r="T244" s="1433"/>
      <c r="U244" s="1433"/>
      <c r="V244" s="1433"/>
      <c r="W244" s="1433"/>
      <c r="X244" s="1433"/>
      <c r="Y244" s="1433"/>
      <c r="Z244" s="1433"/>
      <c r="AA244" s="1433"/>
      <c r="AB244" s="1433"/>
      <c r="AC244" s="1433"/>
      <c r="AD244" s="1433"/>
      <c r="AE244" s="1433"/>
      <c r="AF244" s="3" t="s">
        <v>1284</v>
      </c>
      <c r="AL244" s="4"/>
      <c r="AM244" s="4"/>
      <c r="AN244" s="4"/>
      <c r="AO244" s="4"/>
      <c r="AP244" s="4"/>
      <c r="AQ244" s="4"/>
      <c r="AR244" s="4"/>
      <c r="AS244" s="4"/>
      <c r="AT244" s="4"/>
      <c r="BB244" t="s">
        <v>308</v>
      </c>
      <c r="BG244">
        <v>1</v>
      </c>
      <c r="BH244" t="s">
        <v>542</v>
      </c>
    </row>
    <row r="245" spans="1:71" ht="13.05" customHeight="1">
      <c r="A245" s="19"/>
      <c r="B245" s="4"/>
      <c r="C245" s="4"/>
      <c r="D245" s="4" t="s">
        <v>588</v>
      </c>
      <c r="E245" s="4"/>
      <c r="M245" s="1432" t="s">
        <v>737</v>
      </c>
      <c r="N245" s="1433"/>
      <c r="O245" s="1433"/>
      <c r="P245" s="1433"/>
      <c r="Q245" s="1433"/>
      <c r="R245" s="1433"/>
      <c r="S245" s="1433"/>
      <c r="T245" s="1433"/>
      <c r="V245" s="33" t="s">
        <v>86</v>
      </c>
      <c r="W245" s="1410" t="s">
        <v>2641</v>
      </c>
      <c r="X245" s="1441"/>
      <c r="Y245" s="4" t="s">
        <v>591</v>
      </c>
      <c r="AC245" s="1433">
        <v>92127</v>
      </c>
      <c r="AD245" s="1433"/>
      <c r="AE245" s="1433"/>
      <c r="AF245" s="3" t="s">
        <v>1285</v>
      </c>
      <c r="AU245" s="4"/>
      <c r="AV245" s="4"/>
      <c r="AW245" s="4"/>
      <c r="AX245" s="4"/>
      <c r="AY245" s="4"/>
      <c r="BB245" s="4" t="s">
        <v>281</v>
      </c>
      <c r="BG245">
        <v>2</v>
      </c>
      <c r="BH245" t="s">
        <v>574</v>
      </c>
      <c r="BO245" s="257" t="str">
        <f>VLOOKUP(BG243,BG244:BH247,2,FALSE)</f>
        <v>Joint Venture</v>
      </c>
    </row>
    <row r="246" spans="1:71" ht="13.05" customHeight="1">
      <c r="A246" s="19"/>
      <c r="B246" s="4"/>
      <c r="C246" s="4"/>
      <c r="D246" s="4" t="s">
        <v>87</v>
      </c>
      <c r="E246" s="4"/>
      <c r="F246" s="4"/>
      <c r="G246" s="4"/>
      <c r="H246" s="4"/>
      <c r="I246" s="4"/>
      <c r="J246" s="4"/>
      <c r="K246" s="4"/>
      <c r="L246" s="19"/>
      <c r="M246" s="1432" t="s">
        <v>2637</v>
      </c>
      <c r="N246" s="1433"/>
      <c r="O246" s="1433"/>
      <c r="P246" s="1433"/>
      <c r="Q246" s="1433"/>
      <c r="R246" s="1433"/>
      <c r="S246" s="1433"/>
      <c r="T246" s="1433"/>
      <c r="U246" s="1433"/>
      <c r="V246" s="1433"/>
      <c r="W246" s="1433"/>
      <c r="X246" s="1433"/>
      <c r="Y246" s="1433"/>
      <c r="Z246" s="1433"/>
      <c r="AA246" s="1433"/>
      <c r="AB246" s="1433"/>
      <c r="AC246" s="1433"/>
      <c r="AD246" s="1433"/>
      <c r="AE246" s="1433"/>
      <c r="AH246" s="1873">
        <v>5.1000000000000003E-6</v>
      </c>
      <c r="AI246" s="1839"/>
      <c r="AJ246" s="1839"/>
      <c r="AK246" s="1839"/>
      <c r="AL246" s="4"/>
      <c r="AM246" s="4"/>
      <c r="AN246" s="4"/>
      <c r="AO246" s="4"/>
      <c r="AP246" s="4"/>
      <c r="AQ246" s="4"/>
      <c r="AR246" s="4"/>
      <c r="AS246" s="4"/>
      <c r="AT246" s="4"/>
      <c r="BB246" s="4" t="s">
        <v>173</v>
      </c>
      <c r="BG246">
        <v>3</v>
      </c>
      <c r="BH246" t="s">
        <v>544</v>
      </c>
      <c r="BN246" s="34"/>
    </row>
    <row r="247" spans="1:71" ht="13.05" customHeight="1">
      <c r="A247" s="19"/>
      <c r="B247" s="4"/>
      <c r="C247" s="4"/>
      <c r="D247" s="4" t="s">
        <v>88</v>
      </c>
      <c r="E247" s="4"/>
      <c r="F247" s="4"/>
      <c r="M247" s="1635" t="s">
        <v>2638</v>
      </c>
      <c r="N247" s="1477"/>
      <c r="O247" s="1477"/>
      <c r="P247" s="1477"/>
      <c r="Q247" s="1477"/>
      <c r="R247" s="1477"/>
      <c r="S247" s="4" t="s">
        <v>207</v>
      </c>
      <c r="T247" s="4"/>
      <c r="U247" s="1441"/>
      <c r="V247" s="1441"/>
      <c r="W247" s="1441"/>
      <c r="X247" s="4" t="s">
        <v>89</v>
      </c>
      <c r="Z247" s="1477"/>
      <c r="AA247" s="1477"/>
      <c r="AB247" s="1477"/>
      <c r="AC247" s="1477"/>
      <c r="AD247" s="1477"/>
      <c r="AE247" s="1477"/>
      <c r="AU247" s="4"/>
      <c r="AV247" s="4"/>
      <c r="AW247" s="4"/>
      <c r="AX247" s="4"/>
      <c r="AY247" s="4"/>
      <c r="BG247">
        <v>0</v>
      </c>
      <c r="BH247" s="3"/>
      <c r="BN247" s="34"/>
    </row>
    <row r="248" spans="1:71" ht="13.05" customHeight="1">
      <c r="A248" s="19"/>
      <c r="B248" s="4"/>
      <c r="C248" s="4"/>
      <c r="D248" s="4" t="s">
        <v>90</v>
      </c>
      <c r="E248" s="4"/>
      <c r="F248" s="4"/>
      <c r="M248" s="1826" t="s">
        <v>2639</v>
      </c>
      <c r="N248" s="1826"/>
      <c r="O248" s="1826"/>
      <c r="P248" s="1826"/>
      <c r="Q248" s="1826"/>
      <c r="R248" s="1826"/>
      <c r="S248" s="1826"/>
      <c r="T248" s="1826"/>
      <c r="U248" s="1826"/>
      <c r="V248" s="1826"/>
      <c r="W248" s="1826"/>
      <c r="X248" s="1826"/>
      <c r="Y248" s="1826"/>
      <c r="Z248" s="1826"/>
      <c r="AA248" s="1826"/>
      <c r="AB248" s="1826"/>
      <c r="AC248" s="1826"/>
      <c r="AD248" s="1826"/>
      <c r="AE248" s="1826"/>
      <c r="AG248" s="4"/>
      <c r="AH248" s="4"/>
      <c r="AI248" s="4"/>
      <c r="AJ248" s="4"/>
      <c r="AK248" s="4"/>
      <c r="AL248" s="4"/>
      <c r="AM248" s="4"/>
      <c r="AN248" s="4"/>
      <c r="AO248" s="4"/>
      <c r="AP248" s="4"/>
      <c r="AQ248" s="4"/>
      <c r="AR248" s="4"/>
      <c r="AS248" s="4"/>
      <c r="AT248" s="4"/>
      <c r="BN248" s="34"/>
    </row>
    <row r="249" spans="1:71" ht="13.05" customHeight="1">
      <c r="A249" s="13"/>
      <c r="B249" s="4"/>
      <c r="C249" s="56"/>
      <c r="D249" s="4" t="s">
        <v>543</v>
      </c>
      <c r="E249" s="4"/>
      <c r="F249" s="4"/>
      <c r="G249" s="4"/>
      <c r="H249" s="4"/>
      <c r="I249" s="4"/>
      <c r="J249" s="4"/>
      <c r="K249" s="4"/>
      <c r="L249" s="4"/>
      <c r="M249" s="1411" t="s">
        <v>542</v>
      </c>
      <c r="N249" s="1411"/>
      <c r="O249" s="1411"/>
      <c r="P249" s="1411"/>
      <c r="Q249" s="1411"/>
      <c r="R249" s="1411"/>
      <c r="S249" s="1411"/>
      <c r="T249" s="1411"/>
      <c r="U249" s="218" t="s">
        <v>920</v>
      </c>
      <c r="V249" s="218"/>
      <c r="W249" s="218"/>
      <c r="X249" s="218"/>
      <c r="Y249" s="218"/>
      <c r="Z249" s="218"/>
      <c r="AA249" s="1827" t="s">
        <v>2640</v>
      </c>
      <c r="AB249" s="1828"/>
      <c r="AC249" s="1828"/>
      <c r="AD249" s="1828"/>
      <c r="AE249" s="1828"/>
      <c r="AF249" s="1828"/>
      <c r="AG249" s="1828"/>
      <c r="AH249" s="1828"/>
      <c r="AI249" s="1828"/>
      <c r="AJ249" s="1828"/>
      <c r="AK249" s="1828"/>
      <c r="BN249" s="34"/>
    </row>
    <row r="250" spans="1:71" ht="13.05" customHeight="1">
      <c r="A250" s="19"/>
      <c r="B250" s="4"/>
      <c r="C250" s="4"/>
      <c r="D250" s="4"/>
      <c r="E250" s="4"/>
      <c r="F250" s="4"/>
      <c r="G250" s="4"/>
      <c r="H250" s="4"/>
      <c r="I250" s="4"/>
      <c r="J250" s="4"/>
      <c r="K250" s="4"/>
      <c r="L250" s="4"/>
      <c r="AG250" s="4"/>
      <c r="AH250" s="4"/>
      <c r="AI250" s="4"/>
      <c r="AJ250" s="4"/>
      <c r="BN250" s="34"/>
    </row>
    <row r="251" spans="1:71" ht="13.05" customHeight="1">
      <c r="A251" s="2"/>
      <c r="B251" s="4"/>
      <c r="C251" s="56" t="s">
        <v>98</v>
      </c>
      <c r="D251" s="4" t="s">
        <v>973</v>
      </c>
      <c r="E251" s="4"/>
      <c r="F251" s="4"/>
      <c r="G251" s="4"/>
      <c r="H251" s="4"/>
      <c r="I251" s="4"/>
      <c r="J251" s="4"/>
      <c r="K251" s="4"/>
      <c r="L251" s="4"/>
      <c r="M251" s="1442" t="s">
        <v>2731</v>
      </c>
      <c r="N251" s="1831"/>
      <c r="O251" s="1831"/>
      <c r="P251" s="1831"/>
      <c r="Q251" s="1831"/>
      <c r="R251" s="1831"/>
      <c r="S251" s="1831"/>
      <c r="T251" s="1831"/>
      <c r="U251" s="1831"/>
      <c r="V251" s="1831"/>
      <c r="W251" s="1831"/>
      <c r="X251" s="1831"/>
      <c r="Y251" s="1831"/>
      <c r="Z251" s="1831"/>
      <c r="AA251" s="1831"/>
      <c r="AB251" s="1831"/>
      <c r="AC251" s="1831"/>
      <c r="AD251" s="1831"/>
      <c r="AE251" s="1831"/>
      <c r="AF251" s="1831" t="s">
        <v>2643</v>
      </c>
      <c r="AG251" s="1831"/>
      <c r="AH251" s="1831"/>
      <c r="AI251" s="1831"/>
      <c r="AJ251" s="1831"/>
      <c r="AK251" s="1831"/>
      <c r="AU251" s="4"/>
      <c r="AV251" s="4"/>
      <c r="AW251" s="4"/>
      <c r="AX251" s="4"/>
      <c r="AY251" s="4"/>
      <c r="BN251" s="34"/>
    </row>
    <row r="252" spans="1:71" ht="13.05" customHeight="1">
      <c r="A252" s="19"/>
      <c r="B252" s="4"/>
      <c r="C252" s="4"/>
      <c r="D252" s="4" t="s">
        <v>85</v>
      </c>
      <c r="E252" s="4"/>
      <c r="F252" s="4"/>
      <c r="G252" s="4"/>
      <c r="H252" s="4"/>
      <c r="I252" s="4"/>
      <c r="J252" s="4"/>
      <c r="K252" s="4"/>
      <c r="L252" s="4"/>
      <c r="M252" s="1432" t="s">
        <v>2649</v>
      </c>
      <c r="N252" s="1433"/>
      <c r="O252" s="1433"/>
      <c r="P252" s="1433"/>
      <c r="Q252" s="1433"/>
      <c r="R252" s="1433"/>
      <c r="S252" s="1433"/>
      <c r="T252" s="1433"/>
      <c r="U252" s="1433"/>
      <c r="V252" s="1433"/>
      <c r="W252" s="1433"/>
      <c r="X252" s="1433"/>
      <c r="Y252" s="1433"/>
      <c r="Z252" s="1433"/>
      <c r="AA252" s="1433"/>
      <c r="AB252" s="1433"/>
      <c r="AC252" s="1433"/>
      <c r="AD252" s="1433"/>
      <c r="AE252" s="1433"/>
      <c r="AF252" s="3" t="s">
        <v>1284</v>
      </c>
      <c r="AL252" s="4"/>
      <c r="AM252" s="4"/>
      <c r="AN252" s="4"/>
      <c r="AO252" s="4"/>
      <c r="AP252" s="4"/>
      <c r="AQ252" s="4"/>
      <c r="AR252" s="4"/>
      <c r="AS252" s="4"/>
      <c r="AT252" s="4"/>
      <c r="BN252" s="34"/>
    </row>
    <row r="253" spans="1:71" ht="13.05" customHeight="1">
      <c r="A253" s="19"/>
      <c r="B253" s="4"/>
      <c r="C253" s="4"/>
      <c r="D253" s="4" t="s">
        <v>588</v>
      </c>
      <c r="E253" s="4"/>
      <c r="M253" s="1432" t="s">
        <v>2650</v>
      </c>
      <c r="N253" s="1433"/>
      <c r="O253" s="1433"/>
      <c r="P253" s="1433"/>
      <c r="Q253" s="1433"/>
      <c r="R253" s="1433"/>
      <c r="S253" s="1433"/>
      <c r="T253" s="1433"/>
      <c r="V253" s="33" t="s">
        <v>86</v>
      </c>
      <c r="W253" s="1410" t="s">
        <v>2653</v>
      </c>
      <c r="X253" s="1441"/>
      <c r="Y253" s="4" t="s">
        <v>591</v>
      </c>
      <c r="AC253" s="1433">
        <v>10168</v>
      </c>
      <c r="AD253" s="1433"/>
      <c r="AE253" s="1433"/>
      <c r="AF253" s="3" t="s">
        <v>1285</v>
      </c>
      <c r="AU253" s="4"/>
      <c r="AV253" s="4"/>
      <c r="AW253" s="4"/>
      <c r="AX253" s="4"/>
      <c r="AY253" s="4"/>
      <c r="BN253" s="34"/>
    </row>
    <row r="254" spans="1:71" ht="13.05" customHeight="1">
      <c r="A254" s="19"/>
      <c r="B254" s="4"/>
      <c r="C254" s="4"/>
      <c r="D254" s="4" t="s">
        <v>87</v>
      </c>
      <c r="E254" s="4"/>
      <c r="F254" s="4"/>
      <c r="G254" s="4"/>
      <c r="H254" s="4"/>
      <c r="I254" s="4"/>
      <c r="J254" s="4"/>
      <c r="K254" s="4"/>
      <c r="L254" s="19"/>
      <c r="M254" s="1433" t="s">
        <v>2645</v>
      </c>
      <c r="N254" s="1433"/>
      <c r="O254" s="1433"/>
      <c r="P254" s="1433"/>
      <c r="Q254" s="1433"/>
      <c r="R254" s="1433"/>
      <c r="S254" s="1433"/>
      <c r="T254" s="1433"/>
      <c r="U254" s="1433"/>
      <c r="V254" s="1433"/>
      <c r="W254" s="1433"/>
      <c r="X254" s="1433"/>
      <c r="Y254" s="1433"/>
      <c r="Z254" s="1433"/>
      <c r="AA254" s="1433"/>
      <c r="AB254" s="1433"/>
      <c r="AC254" s="1433"/>
      <c r="AD254" s="1433"/>
      <c r="AE254" s="1433"/>
      <c r="AH254" s="1839">
        <v>2.5000000000000001E-4</v>
      </c>
      <c r="AI254" s="1839"/>
      <c r="AJ254" s="1839"/>
      <c r="AK254" s="1839"/>
      <c r="AL254" s="4"/>
      <c r="AM254" s="4"/>
      <c r="AN254" s="4"/>
      <c r="AO254" s="4"/>
      <c r="AP254" s="4"/>
      <c r="AQ254" s="4"/>
      <c r="AR254" s="4"/>
      <c r="AS254" s="4"/>
      <c r="AT254" s="4"/>
    </row>
    <row r="255" spans="1:71" ht="13.05" customHeight="1">
      <c r="A255" s="19"/>
      <c r="B255" s="4"/>
      <c r="C255" s="4"/>
      <c r="D255" s="4" t="s">
        <v>88</v>
      </c>
      <c r="E255" s="4"/>
      <c r="F255" s="4"/>
      <c r="M255" s="1477" t="s">
        <v>2646</v>
      </c>
      <c r="N255" s="1477"/>
      <c r="O255" s="1477"/>
      <c r="P255" s="1477"/>
      <c r="Q255" s="1477"/>
      <c r="R255" s="1477"/>
      <c r="S255" s="4" t="s">
        <v>207</v>
      </c>
      <c r="T255" s="4"/>
      <c r="U255" s="1441"/>
      <c r="V255" s="1441"/>
      <c r="W255" s="1441"/>
      <c r="X255" s="4" t="s">
        <v>89</v>
      </c>
      <c r="Z255" s="1477"/>
      <c r="AA255" s="1477"/>
      <c r="AB255" s="1477"/>
      <c r="AC255" s="1477"/>
      <c r="AD255" s="1477"/>
      <c r="AE255" s="1477"/>
      <c r="AU255" s="4"/>
      <c r="AV255" s="4"/>
      <c r="AW255" s="4"/>
      <c r="AX255" s="4"/>
      <c r="AY255" s="4"/>
      <c r="BN255" s="34"/>
    </row>
    <row r="256" spans="1:71" ht="13.05" customHeight="1">
      <c r="A256" s="19"/>
      <c r="B256" s="4"/>
      <c r="C256" s="4"/>
      <c r="D256" s="4" t="s">
        <v>90</v>
      </c>
      <c r="E256" s="4"/>
      <c r="F256" s="4"/>
      <c r="M256" s="1826" t="s">
        <v>2647</v>
      </c>
      <c r="N256" s="1826"/>
      <c r="O256" s="1826"/>
      <c r="P256" s="1826"/>
      <c r="Q256" s="1826"/>
      <c r="R256" s="1826"/>
      <c r="S256" s="1826"/>
      <c r="T256" s="1826"/>
      <c r="U256" s="1826"/>
      <c r="V256" s="1826"/>
      <c r="W256" s="1826"/>
      <c r="X256" s="1826"/>
      <c r="Y256" s="1826"/>
      <c r="Z256" s="1826"/>
      <c r="AA256" s="1826"/>
      <c r="AB256" s="1826"/>
      <c r="AC256" s="1826"/>
      <c r="AD256" s="1826"/>
      <c r="AE256" s="1826"/>
      <c r="AG256" s="4"/>
      <c r="AH256" s="4"/>
      <c r="AI256" s="4"/>
      <c r="AJ256" s="4"/>
      <c r="AK256" s="4"/>
      <c r="AL256" s="4"/>
      <c r="AM256" s="4"/>
      <c r="AN256" s="4"/>
      <c r="AO256" s="4"/>
      <c r="AP256" s="4"/>
      <c r="AQ256" s="4"/>
      <c r="AR256" s="4"/>
      <c r="AS256" s="4"/>
      <c r="AT256" s="4"/>
      <c r="AU256" s="3"/>
      <c r="AV256" s="3"/>
      <c r="AW256" s="3"/>
      <c r="AX256" s="3"/>
      <c r="AY256" s="3"/>
      <c r="BN256" s="34"/>
    </row>
    <row r="257" spans="1:66" ht="13.05" customHeight="1">
      <c r="A257" s="13"/>
      <c r="B257" s="4"/>
      <c r="C257" s="56"/>
      <c r="D257" s="4" t="s">
        <v>543</v>
      </c>
      <c r="E257" s="4"/>
      <c r="F257" s="4"/>
      <c r="G257" s="4"/>
      <c r="H257" s="4"/>
      <c r="I257" s="4"/>
      <c r="J257" s="4"/>
      <c r="K257" s="4"/>
      <c r="L257" s="4"/>
      <c r="M257" s="1411" t="s">
        <v>544</v>
      </c>
      <c r="N257" s="1411"/>
      <c r="O257" s="1411"/>
      <c r="P257" s="1411"/>
      <c r="Q257" s="1411"/>
      <c r="R257" s="1411"/>
      <c r="S257" s="1411"/>
      <c r="T257" s="1411"/>
      <c r="U257" s="218" t="s">
        <v>920</v>
      </c>
      <c r="V257" s="218"/>
      <c r="W257" s="218"/>
      <c r="X257" s="218"/>
      <c r="Y257" s="218"/>
      <c r="Z257" s="218"/>
      <c r="AA257" s="1827" t="s">
        <v>2648</v>
      </c>
      <c r="AB257" s="1828"/>
      <c r="AC257" s="1828"/>
      <c r="AD257" s="1828"/>
      <c r="AE257" s="1828"/>
      <c r="AF257" s="1828"/>
      <c r="AG257" s="1828"/>
      <c r="AH257" s="1828"/>
      <c r="AI257" s="1828"/>
      <c r="AJ257" s="1828"/>
      <c r="AK257" s="1828"/>
      <c r="AL257" s="3"/>
      <c r="AM257" s="3"/>
      <c r="AN257" s="3"/>
      <c r="AO257" s="3"/>
      <c r="AP257" s="3"/>
      <c r="AQ257" s="3"/>
      <c r="AR257" s="3"/>
      <c r="AS257" s="3"/>
      <c r="AT257" s="3"/>
      <c r="AU257" s="3"/>
      <c r="AV257" s="3"/>
      <c r="AW257" s="3"/>
      <c r="AX257" s="3"/>
      <c r="AY257" s="3"/>
      <c r="BN257" s="34"/>
    </row>
    <row r="258" spans="1:66" ht="13.0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05" customHeight="1">
      <c r="A259" s="13"/>
      <c r="B259" s="4"/>
      <c r="C259" s="56" t="s">
        <v>887</v>
      </c>
      <c r="D259" s="4" t="s">
        <v>540</v>
      </c>
      <c r="E259" s="4"/>
      <c r="F259" s="4"/>
      <c r="G259" s="4"/>
      <c r="H259" s="4"/>
      <c r="I259" s="4"/>
      <c r="J259" s="4"/>
      <c r="K259" s="4"/>
      <c r="L259" s="4"/>
      <c r="M259" s="1442" t="s">
        <v>2773</v>
      </c>
      <c r="N259" s="1831"/>
      <c r="O259" s="1831"/>
      <c r="P259" s="1831"/>
      <c r="Q259" s="1831"/>
      <c r="R259" s="1831"/>
      <c r="S259" s="1831"/>
      <c r="T259" s="1831"/>
      <c r="U259" s="1831"/>
      <c r="V259" s="1831"/>
      <c r="W259" s="1831"/>
      <c r="X259" s="1831"/>
      <c r="Y259" s="1831"/>
      <c r="Z259" s="1831"/>
      <c r="AA259" s="1831"/>
      <c r="AB259" s="1831"/>
      <c r="AC259" s="1831"/>
      <c r="AD259" s="1831"/>
      <c r="AE259" s="1831"/>
      <c r="AF259" s="1831" t="s">
        <v>2643</v>
      </c>
      <c r="AG259" s="1831"/>
      <c r="AH259" s="1831"/>
      <c r="AI259" s="1831"/>
      <c r="AJ259" s="1831"/>
      <c r="AK259" s="1831"/>
      <c r="AL259" s="3"/>
      <c r="AM259" s="3"/>
      <c r="AN259" s="3"/>
      <c r="AO259" s="3"/>
      <c r="AP259" s="3"/>
      <c r="AQ259" s="3"/>
      <c r="AR259" s="3"/>
      <c r="AS259" s="3"/>
      <c r="AT259" s="3"/>
      <c r="AU259" s="3"/>
      <c r="AV259" s="3"/>
      <c r="AW259" s="3"/>
      <c r="AX259" s="3"/>
      <c r="AY259" s="3"/>
      <c r="BN259" s="34"/>
    </row>
    <row r="260" spans="1:66" ht="13.05" customHeight="1">
      <c r="A260" s="13"/>
      <c r="B260" s="4"/>
      <c r="C260" s="4"/>
      <c r="D260" s="4" t="s">
        <v>85</v>
      </c>
      <c r="E260" s="4"/>
      <c r="F260" s="4"/>
      <c r="G260" s="4"/>
      <c r="H260" s="4"/>
      <c r="I260" s="4"/>
      <c r="J260" s="4"/>
      <c r="K260" s="4"/>
      <c r="L260" s="4"/>
      <c r="M260" s="1432" t="s">
        <v>2752</v>
      </c>
      <c r="N260" s="1433"/>
      <c r="O260" s="1433"/>
      <c r="P260" s="1433"/>
      <c r="Q260" s="1433"/>
      <c r="R260" s="1433"/>
      <c r="S260" s="1433"/>
      <c r="T260" s="1433"/>
      <c r="U260" s="1433"/>
      <c r="V260" s="1433"/>
      <c r="W260" s="1433"/>
      <c r="X260" s="1433"/>
      <c r="Y260" s="1433"/>
      <c r="Z260" s="1433"/>
      <c r="AA260" s="1433"/>
      <c r="AB260" s="1433"/>
      <c r="AC260" s="1433"/>
      <c r="AD260" s="1433"/>
      <c r="AE260" s="1433"/>
      <c r="AF260" s="3" t="s">
        <v>1284</v>
      </c>
      <c r="AL260" s="3"/>
      <c r="AM260" s="3"/>
      <c r="AN260" s="3"/>
      <c r="AO260" s="3"/>
      <c r="AP260" s="3"/>
      <c r="AQ260" s="3"/>
      <c r="AR260" s="3"/>
      <c r="AS260" s="3"/>
      <c r="AT260" s="3"/>
      <c r="AU260" s="3"/>
      <c r="AV260" s="3"/>
      <c r="AW260" s="3"/>
      <c r="AX260" s="3"/>
      <c r="AY260" s="3"/>
      <c r="BN260" s="34"/>
    </row>
    <row r="261" spans="1:66" ht="13.05" customHeight="1">
      <c r="A261" s="13"/>
      <c r="B261" s="4"/>
      <c r="C261" s="4"/>
      <c r="D261" s="4" t="s">
        <v>588</v>
      </c>
      <c r="E261" s="4"/>
      <c r="M261" s="1432" t="s">
        <v>194</v>
      </c>
      <c r="N261" s="1433"/>
      <c r="O261" s="1433"/>
      <c r="P261" s="1433"/>
      <c r="Q261" s="1433"/>
      <c r="R261" s="1433"/>
      <c r="S261" s="1433"/>
      <c r="T261" s="1433"/>
      <c r="V261" s="33" t="s">
        <v>86</v>
      </c>
      <c r="W261" s="1410" t="s">
        <v>2641</v>
      </c>
      <c r="X261" s="1441"/>
      <c r="Y261" s="4" t="s">
        <v>591</v>
      </c>
      <c r="AC261" s="1433">
        <v>95060</v>
      </c>
      <c r="AD261" s="1433"/>
      <c r="AE261" s="1433"/>
      <c r="AF261" s="3" t="s">
        <v>1285</v>
      </c>
      <c r="AL261" s="3"/>
      <c r="AM261" s="3"/>
      <c r="AN261" s="3"/>
      <c r="AO261" s="3"/>
      <c r="AP261" s="3"/>
      <c r="AQ261" s="3"/>
      <c r="AR261" s="3"/>
      <c r="AS261" s="3"/>
      <c r="AT261" s="3"/>
      <c r="AU261" s="3"/>
      <c r="AV261" s="3"/>
      <c r="AW261" s="3"/>
      <c r="AX261" s="3"/>
      <c r="AY261" s="3"/>
      <c r="BN261" s="34"/>
    </row>
    <row r="262" spans="1:66" ht="13.05" customHeight="1">
      <c r="A262" s="13"/>
      <c r="B262" s="4"/>
      <c r="C262" s="4"/>
      <c r="D262" s="4" t="s">
        <v>87</v>
      </c>
      <c r="E262" s="4"/>
      <c r="F262" s="4"/>
      <c r="G262" s="4"/>
      <c r="H262" s="4"/>
      <c r="I262" s="4"/>
      <c r="J262" s="4"/>
      <c r="K262" s="4"/>
      <c r="L262" s="19"/>
      <c r="M262" s="1432" t="s">
        <v>2753</v>
      </c>
      <c r="N262" s="1433"/>
      <c r="O262" s="1433"/>
      <c r="P262" s="1433"/>
      <c r="Q262" s="1433"/>
      <c r="R262" s="1433"/>
      <c r="S262" s="1433"/>
      <c r="T262" s="1433"/>
      <c r="U262" s="1433"/>
      <c r="V262" s="1433"/>
      <c r="W262" s="1433"/>
      <c r="X262" s="1433"/>
      <c r="Y262" s="1433"/>
      <c r="Z262" s="1433"/>
      <c r="AA262" s="1433"/>
      <c r="AB262" s="1433"/>
      <c r="AC262" s="1433"/>
      <c r="AD262" s="1433"/>
      <c r="AE262" s="1433"/>
      <c r="AH262" s="1839">
        <v>2.4000000000000001E-4</v>
      </c>
      <c r="AI262" s="1839"/>
      <c r="AJ262" s="1839"/>
      <c r="AK262" s="1839"/>
      <c r="AL262" s="3"/>
      <c r="AM262" s="3"/>
      <c r="AN262" s="3"/>
      <c r="AO262" s="3"/>
      <c r="AP262" s="3"/>
      <c r="AQ262" s="3"/>
      <c r="AR262" s="3"/>
      <c r="AS262" s="3"/>
      <c r="AT262" s="3"/>
      <c r="AU262" s="3"/>
      <c r="AV262" s="3"/>
      <c r="AW262" s="3"/>
      <c r="AX262" s="3"/>
      <c r="AY262" s="3"/>
      <c r="BN262" s="34"/>
    </row>
    <row r="263" spans="1:66" ht="13.05" customHeight="1">
      <c r="A263" s="13"/>
      <c r="B263" s="4"/>
      <c r="C263" s="4"/>
      <c r="D263" s="4" t="s">
        <v>88</v>
      </c>
      <c r="E263" s="4"/>
      <c r="F263" s="4"/>
      <c r="M263" s="1635" t="s">
        <v>2754</v>
      </c>
      <c r="N263" s="1477"/>
      <c r="O263" s="1477"/>
      <c r="P263" s="1477"/>
      <c r="Q263" s="1477"/>
      <c r="R263" s="1477"/>
      <c r="S263" s="4" t="s">
        <v>207</v>
      </c>
      <c r="T263" s="4"/>
      <c r="U263" s="1441"/>
      <c r="V263" s="1441"/>
      <c r="W263" s="1441"/>
      <c r="X263" s="4" t="s">
        <v>89</v>
      </c>
      <c r="Z263" s="1477"/>
      <c r="AA263" s="1477"/>
      <c r="AB263" s="1477"/>
      <c r="AC263" s="1477"/>
      <c r="AD263" s="1477"/>
      <c r="AE263" s="1477"/>
      <c r="AL263" s="3"/>
      <c r="AM263" s="3"/>
      <c r="AN263" s="3"/>
      <c r="AO263" s="3"/>
      <c r="AP263" s="3"/>
      <c r="AQ263" s="3"/>
      <c r="AR263" s="3"/>
      <c r="AS263" s="3"/>
      <c r="AT263" s="3"/>
      <c r="AU263" s="3"/>
      <c r="AV263" s="3"/>
      <c r="AW263" s="3"/>
      <c r="AX263" s="3"/>
      <c r="AY263" s="3"/>
      <c r="BN263" s="34"/>
    </row>
    <row r="264" spans="1:66" ht="13.05" customHeight="1">
      <c r="A264" s="13"/>
      <c r="B264" s="4"/>
      <c r="C264" s="4"/>
      <c r="D264" s="4" t="s">
        <v>90</v>
      </c>
      <c r="E264" s="4"/>
      <c r="F264" s="4"/>
      <c r="M264" s="1826" t="s">
        <v>2755</v>
      </c>
      <c r="N264" s="1826"/>
      <c r="O264" s="1826"/>
      <c r="P264" s="1826"/>
      <c r="Q264" s="1826"/>
      <c r="R264" s="1826"/>
      <c r="S264" s="1826"/>
      <c r="T264" s="1826"/>
      <c r="U264" s="1826"/>
      <c r="V264" s="1826"/>
      <c r="W264" s="1826"/>
      <c r="X264" s="1826"/>
      <c r="Y264" s="1826"/>
      <c r="Z264" s="1826"/>
      <c r="AA264" s="1861"/>
      <c r="AB264" s="1861"/>
      <c r="AC264" s="1861"/>
      <c r="AD264" s="1861"/>
      <c r="AE264" s="1861"/>
      <c r="AG264" s="4"/>
      <c r="AH264" s="4"/>
      <c r="AI264" s="4"/>
      <c r="AJ264" s="4"/>
      <c r="AK264" s="4"/>
      <c r="AL264" s="3"/>
      <c r="AM264" s="3"/>
      <c r="AN264" s="3"/>
      <c r="AO264" s="3"/>
      <c r="AP264" s="3"/>
      <c r="AQ264" s="3"/>
      <c r="AR264" s="3"/>
      <c r="AS264" s="3"/>
      <c r="AT264" s="3"/>
      <c r="AU264" s="3"/>
      <c r="AV264" s="3"/>
      <c r="AW264" s="3"/>
      <c r="AX264" s="3"/>
      <c r="AY264" s="3"/>
      <c r="BN264" s="34"/>
    </row>
    <row r="265" spans="1:66" ht="13.05" customHeight="1">
      <c r="A265" s="13"/>
      <c r="B265" s="4"/>
      <c r="C265" s="56"/>
      <c r="D265" s="4" t="s">
        <v>543</v>
      </c>
      <c r="E265" s="4"/>
      <c r="F265" s="4"/>
      <c r="G265" s="4"/>
      <c r="H265" s="4"/>
      <c r="I265" s="4"/>
      <c r="J265" s="4"/>
      <c r="K265" s="4"/>
      <c r="L265" s="4"/>
      <c r="M265" s="1411" t="s">
        <v>544</v>
      </c>
      <c r="N265" s="1411"/>
      <c r="O265" s="1411"/>
      <c r="P265" s="1411"/>
      <c r="Q265" s="1411"/>
      <c r="R265" s="1411"/>
      <c r="S265" s="1411"/>
      <c r="T265" s="1411"/>
      <c r="U265" s="218" t="s">
        <v>920</v>
      </c>
      <c r="V265" s="218"/>
      <c r="W265" s="218"/>
      <c r="X265" s="218"/>
      <c r="Y265" s="218"/>
      <c r="Z265" s="218"/>
      <c r="AA265" s="1859" t="s">
        <v>2732</v>
      </c>
      <c r="AB265" s="1860"/>
      <c r="AC265" s="1860"/>
      <c r="AD265" s="1860"/>
      <c r="AE265" s="1860"/>
      <c r="AF265" s="1860"/>
      <c r="AG265" s="1860"/>
      <c r="AH265" s="1860"/>
      <c r="AI265" s="1860"/>
      <c r="AJ265" s="1860"/>
      <c r="AK265" s="1860"/>
      <c r="AL265" s="3"/>
      <c r="AM265" s="3"/>
      <c r="AN265" s="3"/>
      <c r="AO265" s="3"/>
      <c r="AP265" s="3"/>
      <c r="AQ265" s="3"/>
      <c r="AR265" s="3"/>
      <c r="AS265" s="3"/>
      <c r="AT265" s="3"/>
      <c r="BN265" s="34"/>
    </row>
    <row r="266" spans="1:66" ht="13.0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05" customHeight="1">
      <c r="A267" s="57" t="s">
        <v>598</v>
      </c>
      <c r="B267" s="4"/>
      <c r="C267" s="2" t="s">
        <v>296</v>
      </c>
      <c r="D267" s="4"/>
      <c r="E267" s="4"/>
      <c r="F267" s="4"/>
      <c r="G267" s="4"/>
      <c r="H267" s="4"/>
      <c r="I267" s="4"/>
      <c r="J267" s="4"/>
      <c r="K267" s="4"/>
      <c r="L267" s="4"/>
      <c r="M267" s="35"/>
      <c r="N267" s="35"/>
      <c r="O267" s="35"/>
      <c r="P267" s="35"/>
      <c r="Q267" s="35"/>
      <c r="T267" s="1858" t="str">
        <f>IFERROR(BO245,"")</f>
        <v>Joint Venture</v>
      </c>
      <c r="U267" s="1858"/>
      <c r="V267" s="1858"/>
      <c r="W267" s="1858"/>
      <c r="X267" s="1858"/>
      <c r="Z267" s="331" t="s">
        <v>972</v>
      </c>
      <c r="AA267" s="332"/>
      <c r="AB267" s="332"/>
      <c r="AC267" s="332"/>
      <c r="AD267" s="105"/>
      <c r="AE267" s="105"/>
      <c r="AF267" s="105"/>
      <c r="AG267" s="105"/>
      <c r="AH267" s="105"/>
      <c r="AI267" s="105"/>
      <c r="AJ267" s="105"/>
      <c r="AK267" s="333"/>
      <c r="AL267" s="58"/>
      <c r="BN267" s="34"/>
    </row>
    <row r="268" spans="1:66" ht="13.0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3.0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3.05" customHeight="1">
      <c r="A270" s="4"/>
      <c r="B270" s="36">
        <v>0</v>
      </c>
      <c r="D270" s="1433" t="s">
        <v>281</v>
      </c>
      <c r="E270" s="1433"/>
      <c r="F270" s="1433"/>
      <c r="G270" s="1433"/>
      <c r="H270" s="1433"/>
      <c r="J270" t="s">
        <v>280</v>
      </c>
      <c r="X270" s="1482"/>
      <c r="Y270" s="1482"/>
      <c r="Z270" s="1482"/>
      <c r="AA270" s="1482"/>
      <c r="AB270" s="1482"/>
      <c r="AC270" s="1482"/>
      <c r="AU270" s="3"/>
      <c r="AV270" s="3"/>
      <c r="AW270" s="3"/>
      <c r="AX270" s="3"/>
      <c r="AY270" s="3"/>
      <c r="BN270" s="34"/>
    </row>
    <row r="271" spans="1:66" ht="13.0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0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0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05" customHeight="1">
      <c r="D274" s="4" t="s">
        <v>297</v>
      </c>
      <c r="E274" s="4"/>
      <c r="F274" s="4"/>
      <c r="G274" s="4"/>
      <c r="H274" s="4"/>
      <c r="I274" s="4"/>
      <c r="J274" s="4"/>
      <c r="K274" s="4"/>
      <c r="L274" s="1442" t="s">
        <v>2648</v>
      </c>
      <c r="M274" s="1831"/>
      <c r="N274" s="1831"/>
      <c r="O274" s="1831"/>
      <c r="P274" s="1831"/>
      <c r="Q274" s="1831"/>
      <c r="R274" s="1831"/>
      <c r="S274" s="1831"/>
      <c r="T274" s="1831"/>
      <c r="U274" s="1831"/>
      <c r="V274" s="1831"/>
      <c r="W274" s="1831"/>
      <c r="X274" s="1831"/>
      <c r="Y274" s="1831"/>
      <c r="Z274" s="1831"/>
      <c r="AA274" s="1831"/>
      <c r="AB274" s="1831"/>
      <c r="AC274" s="1831"/>
      <c r="AD274" s="1831"/>
      <c r="AE274" s="1831"/>
      <c r="AF274" s="1831"/>
      <c r="AG274" s="1831"/>
      <c r="AH274" s="1831"/>
      <c r="AI274" s="1831"/>
      <c r="AJ274" s="1831"/>
      <c r="AK274" s="3"/>
      <c r="AL274" s="3"/>
      <c r="AM274" s="3"/>
      <c r="AN274" s="3"/>
      <c r="AO274" s="3"/>
      <c r="AP274" s="3"/>
      <c r="AQ274" s="3"/>
      <c r="AR274" s="3"/>
      <c r="AS274" s="3"/>
      <c r="AT274" s="3"/>
      <c r="AU274" s="3"/>
      <c r="AV274" s="3"/>
      <c r="AW274" s="3"/>
      <c r="AX274" s="3"/>
      <c r="AY274" s="3"/>
      <c r="BN274" s="34"/>
    </row>
    <row r="275" spans="1:66" ht="13.05" customHeight="1">
      <c r="D275" s="4" t="s">
        <v>85</v>
      </c>
      <c r="E275" s="4"/>
      <c r="F275" s="4"/>
      <c r="G275" s="4"/>
      <c r="H275" s="4"/>
      <c r="I275" s="4"/>
      <c r="J275" s="4"/>
      <c r="K275" s="4"/>
      <c r="L275" s="1432" t="s">
        <v>2649</v>
      </c>
      <c r="M275" s="1433"/>
      <c r="N275" s="1433"/>
      <c r="O275" s="1433"/>
      <c r="P275" s="1433"/>
      <c r="Q275" s="1433"/>
      <c r="R275" s="1433"/>
      <c r="S275" s="1433"/>
      <c r="T275" s="1433"/>
      <c r="U275" s="1433"/>
      <c r="V275" s="1433"/>
      <c r="W275" s="1433"/>
      <c r="X275" s="1433"/>
      <c r="Y275" s="1433"/>
      <c r="Z275" s="1433"/>
      <c r="AA275" s="1433"/>
      <c r="AB275" s="1433"/>
      <c r="AC275" s="1433"/>
      <c r="AD275" s="1433"/>
      <c r="AK275" s="3"/>
      <c r="AL275" s="3"/>
      <c r="AM275" s="3"/>
      <c r="AN275" s="3"/>
      <c r="AO275" s="3"/>
      <c r="AP275" s="3"/>
      <c r="AQ275" s="3"/>
      <c r="AR275" s="3"/>
      <c r="AS275" s="3"/>
      <c r="AT275" s="3"/>
      <c r="AU275" s="3"/>
      <c r="AV275" s="3"/>
      <c r="AW275" s="3"/>
      <c r="AX275" s="3"/>
      <c r="AY275" s="3"/>
      <c r="BN275" s="34"/>
    </row>
    <row r="276" spans="1:66" ht="13.05" customHeight="1">
      <c r="D276" s="4" t="s">
        <v>588</v>
      </c>
      <c r="E276" s="4"/>
      <c r="L276" s="1432" t="s">
        <v>2650</v>
      </c>
      <c r="M276" s="1433"/>
      <c r="N276" s="1433"/>
      <c r="O276" s="1433"/>
      <c r="P276" s="1433"/>
      <c r="Q276" s="1433"/>
      <c r="R276" s="1433"/>
      <c r="S276" s="1433"/>
      <c r="U276" s="33" t="s">
        <v>86</v>
      </c>
      <c r="V276" s="1410" t="s">
        <v>2653</v>
      </c>
      <c r="W276" s="1441"/>
      <c r="X276" s="4" t="s">
        <v>591</v>
      </c>
      <c r="AB276" s="1433">
        <v>10168</v>
      </c>
      <c r="AC276" s="1433"/>
      <c r="AD276" s="1433"/>
      <c r="AK276" s="3"/>
      <c r="AL276" s="3"/>
      <c r="AM276" s="3"/>
      <c r="AN276" s="3"/>
      <c r="AO276" s="3"/>
      <c r="AP276" s="3"/>
      <c r="AQ276" s="3"/>
      <c r="AR276" s="3"/>
      <c r="AS276" s="3"/>
      <c r="AT276" s="3"/>
      <c r="AU276" s="3"/>
      <c r="AV276" s="3"/>
      <c r="AW276" s="3"/>
      <c r="AX276" s="3"/>
      <c r="AY276" s="3"/>
      <c r="BN276" s="34"/>
    </row>
    <row r="277" spans="1:66" ht="13.05" customHeight="1">
      <c r="D277" s="4" t="s">
        <v>87</v>
      </c>
      <c r="E277" s="4"/>
      <c r="F277" s="4"/>
      <c r="G277" s="4"/>
      <c r="H277" s="4"/>
      <c r="I277" s="4"/>
      <c r="J277" s="4"/>
      <c r="K277" s="19"/>
      <c r="L277" s="1433" t="s">
        <v>2651</v>
      </c>
      <c r="M277" s="1433"/>
      <c r="N277" s="1433"/>
      <c r="O277" s="1433"/>
      <c r="P277" s="1433"/>
      <c r="Q277" s="1433"/>
      <c r="R277" s="1433"/>
      <c r="S277" s="1433"/>
      <c r="T277" s="1433"/>
      <c r="U277" s="1433"/>
      <c r="V277" s="1433"/>
      <c r="W277" s="1433"/>
      <c r="X277" s="1433"/>
      <c r="Y277" s="1433"/>
      <c r="Z277" s="1433"/>
      <c r="AA277" s="1433"/>
      <c r="AB277" s="1433"/>
      <c r="AC277" s="1433"/>
      <c r="AD277" s="1433"/>
      <c r="AI277" s="4"/>
      <c r="AJ277" s="4"/>
      <c r="AK277" s="3"/>
      <c r="AL277" s="3"/>
      <c r="AM277" s="3"/>
      <c r="AN277" s="3"/>
      <c r="AO277" s="3"/>
      <c r="AP277" s="3"/>
      <c r="AQ277" s="3"/>
      <c r="AR277" s="3"/>
      <c r="AS277" s="3"/>
      <c r="AT277" s="3"/>
      <c r="BN277" s="34"/>
    </row>
    <row r="278" spans="1:66" ht="13.05" customHeight="1">
      <c r="D278" s="4" t="s">
        <v>88</v>
      </c>
      <c r="E278" s="4"/>
      <c r="F278" s="4"/>
      <c r="L278" s="1635" t="s">
        <v>2735</v>
      </c>
      <c r="M278" s="1477"/>
      <c r="N278" s="1477"/>
      <c r="O278" s="1477"/>
      <c r="P278" s="1477"/>
      <c r="Q278" s="1477"/>
      <c r="R278" s="4" t="s">
        <v>207</v>
      </c>
      <c r="S278" s="4"/>
      <c r="T278" s="1441"/>
      <c r="U278" s="1441"/>
      <c r="V278" s="1441"/>
      <c r="W278" s="4" t="s">
        <v>89</v>
      </c>
      <c r="Y278" s="1477"/>
      <c r="Z278" s="1477"/>
      <c r="AA278" s="1477"/>
      <c r="AB278" s="1477"/>
      <c r="AC278" s="1477"/>
      <c r="AD278" s="1477"/>
      <c r="BN278" s="34"/>
    </row>
    <row r="279" spans="1:66" ht="13.05" customHeight="1">
      <c r="D279" s="4" t="s">
        <v>90</v>
      </c>
      <c r="E279" s="4"/>
      <c r="F279" s="4"/>
      <c r="L279" s="1826" t="s">
        <v>2652</v>
      </c>
      <c r="M279" s="1826"/>
      <c r="N279" s="1826"/>
      <c r="O279" s="1826"/>
      <c r="P279" s="1826"/>
      <c r="Q279" s="1826"/>
      <c r="R279" s="1826"/>
      <c r="S279" s="1826"/>
      <c r="T279" s="1826"/>
      <c r="U279" s="1826"/>
      <c r="V279" s="1826"/>
      <c r="W279" s="1826"/>
      <c r="X279" s="1826"/>
      <c r="Y279" s="1826"/>
      <c r="Z279" s="1826"/>
      <c r="AA279" s="1826"/>
      <c r="AB279" s="1826"/>
      <c r="AC279" s="1826"/>
      <c r="AD279" s="1826"/>
      <c r="AF279" s="4"/>
      <c r="AG279" s="4"/>
      <c r="AH279" s="4"/>
      <c r="AI279" s="4"/>
      <c r="AJ279" s="4"/>
      <c r="AU279" s="3"/>
      <c r="AV279" s="3"/>
      <c r="AW279" s="3"/>
      <c r="AX279" s="3"/>
      <c r="AY279" s="3"/>
      <c r="BN279" s="34"/>
    </row>
    <row r="280" spans="1:66" ht="13.05" customHeight="1">
      <c r="D280" s="3" t="s">
        <v>631</v>
      </c>
      <c r="E280" s="3"/>
      <c r="F280" s="3"/>
      <c r="G280" s="3"/>
      <c r="H280" s="3"/>
      <c r="I280" s="3"/>
      <c r="L280" s="1410" t="s">
        <v>2654</v>
      </c>
      <c r="M280" s="1410"/>
      <c r="N280" s="1410"/>
      <c r="O280" s="1410"/>
      <c r="P280" s="1410"/>
      <c r="Q280" s="1410"/>
      <c r="R280" s="1410"/>
      <c r="S280" s="1410"/>
      <c r="T280" s="1410"/>
      <c r="U280" s="1410"/>
      <c r="V280" s="1410"/>
      <c r="W280" s="1410"/>
      <c r="X280" s="1410"/>
      <c r="Y280" s="1410"/>
      <c r="Z280" s="1410"/>
      <c r="AA280" s="1410"/>
      <c r="AB280" s="1410"/>
      <c r="AC280" s="1410"/>
      <c r="AD280" s="1410"/>
      <c r="AK280" s="3"/>
      <c r="AL280" s="3"/>
      <c r="AM280" s="3"/>
      <c r="AN280" s="3"/>
      <c r="AO280" s="3"/>
      <c r="AP280" s="3"/>
      <c r="AQ280" s="3"/>
      <c r="AR280" s="3"/>
      <c r="AS280" s="3"/>
      <c r="AT280" s="3"/>
      <c r="BN280" s="34"/>
    </row>
    <row r="281" spans="1:66" ht="13.05" customHeight="1">
      <c r="L281" s="22" t="s">
        <v>632</v>
      </c>
      <c r="AU281" s="95"/>
      <c r="AV281" s="95"/>
      <c r="AW281" s="95"/>
      <c r="AX281" s="95"/>
      <c r="AY281" s="95"/>
      <c r="BN281" s="34"/>
    </row>
    <row r="282" spans="1:66" ht="13.05" customHeight="1">
      <c r="A282" s="1434" t="s">
        <v>549</v>
      </c>
      <c r="B282" s="1434"/>
      <c r="C282" s="1434"/>
      <c r="D282" s="1434"/>
      <c r="E282" s="1434"/>
      <c r="F282" s="1434"/>
      <c r="G282" s="1434"/>
      <c r="H282" s="1434"/>
      <c r="I282" s="1434"/>
      <c r="J282" s="1434"/>
      <c r="K282" s="1434"/>
      <c r="L282" s="1434"/>
      <c r="M282" s="1434"/>
      <c r="N282" s="1434"/>
      <c r="O282" s="1434"/>
      <c r="P282" s="1434"/>
      <c r="Q282" s="1434"/>
      <c r="R282" s="1434"/>
      <c r="S282" s="1434"/>
      <c r="T282" s="1434"/>
      <c r="U282" s="1434"/>
      <c r="V282" s="1434"/>
      <c r="W282" s="1434"/>
      <c r="X282" s="1434"/>
      <c r="Y282" s="1434"/>
      <c r="Z282" s="1434"/>
      <c r="AA282" s="1434"/>
      <c r="AB282" s="1434"/>
      <c r="AC282" s="1434"/>
      <c r="AD282" s="1434"/>
      <c r="AE282" s="1434"/>
      <c r="AF282" s="1434"/>
      <c r="AG282" s="1434"/>
      <c r="AH282" s="1434"/>
      <c r="AI282" s="1434"/>
      <c r="AJ282" s="1434"/>
      <c r="AK282" s="1434"/>
      <c r="AL282" s="1434"/>
      <c r="AM282" s="1434"/>
      <c r="AN282" s="1434"/>
      <c r="AO282" s="1434"/>
      <c r="AP282" s="1434"/>
      <c r="AQ282" s="1434"/>
      <c r="AR282" s="1434"/>
      <c r="AS282" s="1434"/>
      <c r="AT282" s="1434"/>
      <c r="AU282" s="95"/>
      <c r="AV282" s="95"/>
      <c r="AW282" s="95"/>
      <c r="AX282" s="95"/>
      <c r="AY282" s="95"/>
      <c r="BN282" s="34"/>
    </row>
    <row r="283" spans="1:66" ht="13.05" customHeight="1">
      <c r="A283" s="1434"/>
      <c r="B283" s="1434"/>
      <c r="C283" s="1434"/>
      <c r="D283" s="1434"/>
      <c r="E283" s="1434"/>
      <c r="F283" s="1434"/>
      <c r="G283" s="1434"/>
      <c r="H283" s="1434"/>
      <c r="I283" s="1434"/>
      <c r="J283" s="1434"/>
      <c r="K283" s="1434"/>
      <c r="L283" s="1434"/>
      <c r="M283" s="1434"/>
      <c r="N283" s="1434"/>
      <c r="O283" s="1434"/>
      <c r="P283" s="1434"/>
      <c r="Q283" s="1434"/>
      <c r="R283" s="1434"/>
      <c r="S283" s="1434"/>
      <c r="T283" s="1434"/>
      <c r="U283" s="1434"/>
      <c r="V283" s="1434"/>
      <c r="W283" s="1434"/>
      <c r="X283" s="1434"/>
      <c r="Y283" s="1434"/>
      <c r="Z283" s="1434"/>
      <c r="AA283" s="1434"/>
      <c r="AB283" s="1434"/>
      <c r="AC283" s="1434"/>
      <c r="AD283" s="1434"/>
      <c r="AE283" s="1434"/>
      <c r="AF283" s="1434"/>
      <c r="AG283" s="1434"/>
      <c r="AH283" s="1434"/>
      <c r="AI283" s="1434"/>
      <c r="AJ283" s="1434"/>
      <c r="AK283" s="1434"/>
      <c r="AL283" s="1434"/>
      <c r="AM283" s="1434"/>
      <c r="AN283" s="1434"/>
      <c r="AO283" s="1434"/>
      <c r="AP283" s="1434"/>
      <c r="AQ283" s="1434"/>
      <c r="AR283" s="1434"/>
      <c r="AS283" s="1434"/>
      <c r="AT283" s="1434"/>
      <c r="AU283" s="25"/>
      <c r="AV283" s="25"/>
      <c r="AW283" s="25"/>
      <c r="AX283" s="25"/>
      <c r="AY283" s="25"/>
      <c r="BN283" s="34"/>
    </row>
    <row r="284" spans="1:66" ht="13.0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0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0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05" customHeight="1">
      <c r="B287" s="3" t="s">
        <v>634</v>
      </c>
      <c r="C287" s="3"/>
      <c r="D287" s="3"/>
      <c r="E287" s="3"/>
      <c r="F287" s="3"/>
      <c r="H287" s="1416" t="s">
        <v>2655</v>
      </c>
      <c r="I287" s="1416"/>
      <c r="J287" s="1416"/>
      <c r="K287" s="1416"/>
      <c r="L287" s="1416"/>
      <c r="M287" s="1416"/>
      <c r="N287" s="1416"/>
      <c r="O287" s="1416"/>
      <c r="P287" s="1416"/>
      <c r="Q287" s="1416"/>
      <c r="R287" s="1416"/>
      <c r="T287" s="3" t="s">
        <v>575</v>
      </c>
      <c r="V287" s="3"/>
      <c r="W287" s="3"/>
      <c r="X287" s="3"/>
      <c r="Y287" s="3"/>
      <c r="AA287" s="1416" t="s">
        <v>2732</v>
      </c>
      <c r="AB287" s="1416"/>
      <c r="AC287" s="1416"/>
      <c r="AD287" s="1416"/>
      <c r="AE287" s="1416"/>
      <c r="AF287" s="1416"/>
      <c r="AG287" s="1416"/>
      <c r="AH287" s="1416"/>
      <c r="AI287" s="1416"/>
      <c r="AJ287" s="1416"/>
      <c r="AK287" s="1416"/>
      <c r="BN287" s="34"/>
    </row>
    <row r="288" spans="1:66" ht="13.05" customHeight="1">
      <c r="B288" s="3" t="s">
        <v>479</v>
      </c>
      <c r="C288" s="3"/>
      <c r="D288" s="3"/>
      <c r="E288" s="3"/>
      <c r="F288" s="3"/>
      <c r="H288" s="1411" t="str">
        <f>M252</f>
        <v>122 East 42 nd ST, STE 1903</v>
      </c>
      <c r="I288" s="1411"/>
      <c r="J288" s="1411"/>
      <c r="K288" s="1411"/>
      <c r="L288" s="1411"/>
      <c r="M288" s="1411"/>
      <c r="N288" s="1411"/>
      <c r="O288" s="1411"/>
      <c r="P288" s="1411"/>
      <c r="Q288" s="1411"/>
      <c r="R288" s="1411"/>
      <c r="T288" s="3" t="s">
        <v>479</v>
      </c>
      <c r="V288" s="3"/>
      <c r="W288" s="3"/>
      <c r="X288" s="3"/>
      <c r="Y288" s="3"/>
      <c r="AA288" s="1410" t="s">
        <v>2752</v>
      </c>
      <c r="AB288" s="1411"/>
      <c r="AC288" s="1411"/>
      <c r="AD288" s="1411"/>
      <c r="AE288" s="1411"/>
      <c r="AF288" s="1411"/>
      <c r="AG288" s="1411"/>
      <c r="AH288" s="1411"/>
      <c r="AI288" s="1411"/>
      <c r="AJ288" s="1411"/>
      <c r="AK288" s="1411"/>
      <c r="BN288" s="34"/>
    </row>
    <row r="289" spans="2:66" ht="13.05" customHeight="1">
      <c r="B289" s="3" t="s">
        <v>480</v>
      </c>
      <c r="C289" s="3"/>
      <c r="D289" s="3"/>
      <c r="E289" s="3"/>
      <c r="F289" s="3"/>
      <c r="H289" s="1411" t="s">
        <v>2733</v>
      </c>
      <c r="I289" s="1411"/>
      <c r="J289" s="1411"/>
      <c r="K289" s="1411"/>
      <c r="L289" s="1411"/>
      <c r="M289" s="1411"/>
      <c r="N289" s="1411"/>
      <c r="O289" s="1411"/>
      <c r="P289" s="1411"/>
      <c r="Q289" s="1411"/>
      <c r="R289" s="1411"/>
      <c r="T289" s="3" t="s">
        <v>75</v>
      </c>
      <c r="V289" s="3"/>
      <c r="W289" s="3"/>
      <c r="X289" s="3"/>
      <c r="Y289" s="3"/>
      <c r="AA289" s="1411" t="s">
        <v>2734</v>
      </c>
      <c r="AB289" s="1411"/>
      <c r="AC289" s="1411"/>
      <c r="AD289" s="1411"/>
      <c r="AE289" s="1411"/>
      <c r="AF289" s="1411"/>
      <c r="AG289" s="1411"/>
      <c r="AH289" s="1411"/>
      <c r="AI289" s="1411"/>
      <c r="AJ289" s="1411"/>
      <c r="AK289" s="1411"/>
      <c r="BN289" s="34"/>
    </row>
    <row r="290" spans="2:66" ht="13.05" customHeight="1">
      <c r="B290" s="3" t="s">
        <v>87</v>
      </c>
      <c r="C290" s="3"/>
      <c r="D290" s="3"/>
      <c r="E290" s="3"/>
      <c r="F290" s="3"/>
      <c r="H290" s="1411" t="s">
        <v>2645</v>
      </c>
      <c r="I290" s="1411"/>
      <c r="J290" s="1411"/>
      <c r="K290" s="1411"/>
      <c r="L290" s="1411"/>
      <c r="M290" s="1411"/>
      <c r="N290" s="1411"/>
      <c r="O290" s="1411"/>
      <c r="P290" s="1411"/>
      <c r="Q290" s="1411"/>
      <c r="R290" s="1411"/>
      <c r="T290" s="3" t="s">
        <v>87</v>
      </c>
      <c r="V290" s="3"/>
      <c r="W290" s="3"/>
      <c r="X290" s="3"/>
      <c r="Y290" s="3"/>
      <c r="AA290" s="1410" t="s">
        <v>2753</v>
      </c>
      <c r="AB290" s="1411"/>
      <c r="AC290" s="1411"/>
      <c r="AD290" s="1411"/>
      <c r="AE290" s="1411"/>
      <c r="AF290" s="1411"/>
      <c r="AG290" s="1411"/>
      <c r="AH290" s="1411"/>
      <c r="AI290" s="1411"/>
      <c r="AJ290" s="1411"/>
      <c r="AK290" s="1411"/>
      <c r="BN290" s="34"/>
    </row>
    <row r="291" spans="2:66" ht="13.05" customHeight="1">
      <c r="B291" s="3" t="s">
        <v>88</v>
      </c>
      <c r="C291" s="3"/>
      <c r="D291" s="3"/>
      <c r="E291" s="3"/>
      <c r="F291" s="3"/>
      <c r="G291" s="3"/>
      <c r="H291" s="1703" t="str">
        <f>M255</f>
        <v>212-776-1914</v>
      </c>
      <c r="I291" s="1703"/>
      <c r="J291" s="1703"/>
      <c r="K291" s="1703"/>
      <c r="L291" s="1703"/>
      <c r="M291" s="1703"/>
      <c r="N291" s="4" t="s">
        <v>207</v>
      </c>
      <c r="O291" s="4"/>
      <c r="P291" s="1433"/>
      <c r="Q291" s="1433"/>
      <c r="R291" s="1433"/>
      <c r="S291" s="3"/>
      <c r="T291" s="3" t="s">
        <v>88</v>
      </c>
      <c r="V291" s="3"/>
      <c r="W291" s="3"/>
      <c r="X291" s="3"/>
      <c r="Y291" s="3"/>
      <c r="AA291" s="1825">
        <v>8312272217</v>
      </c>
      <c r="AB291" s="1703"/>
      <c r="AC291" s="1703"/>
      <c r="AD291" s="1703"/>
      <c r="AE291" s="1703"/>
      <c r="AF291" s="1703"/>
      <c r="AG291" s="4" t="s">
        <v>207</v>
      </c>
      <c r="AH291" s="4"/>
      <c r="AI291" s="1433"/>
      <c r="AJ291" s="1433"/>
      <c r="AK291" s="1433"/>
      <c r="BN291" s="34"/>
    </row>
    <row r="292" spans="2:66" ht="13.05" customHeight="1">
      <c r="B292" s="3" t="s">
        <v>89</v>
      </c>
      <c r="C292" s="3"/>
      <c r="D292" s="3"/>
      <c r="E292" s="3"/>
      <c r="F292" s="3"/>
      <c r="G292" s="3"/>
      <c r="H292" s="1477"/>
      <c r="I292" s="1477"/>
      <c r="J292" s="1477"/>
      <c r="K292" s="1477"/>
      <c r="L292" s="1477"/>
      <c r="M292" s="1477"/>
      <c r="N292" s="4"/>
      <c r="O292" s="4"/>
      <c r="P292" s="35"/>
      <c r="Q292" s="35"/>
      <c r="R292" s="35"/>
      <c r="S292" s="3"/>
      <c r="T292" s="3" t="s">
        <v>89</v>
      </c>
      <c r="V292" s="3"/>
      <c r="W292" s="3"/>
      <c r="X292" s="3"/>
      <c r="Y292" s="3"/>
      <c r="AA292" s="1477"/>
      <c r="AB292" s="1477"/>
      <c r="AC292" s="1477"/>
      <c r="AD292" s="1477"/>
      <c r="AE292" s="1477"/>
      <c r="AF292" s="1477"/>
      <c r="AG292" s="4"/>
      <c r="AH292" s="4"/>
      <c r="AI292" s="35"/>
      <c r="AJ292" s="35"/>
      <c r="AK292" s="35"/>
      <c r="BN292" s="34"/>
    </row>
    <row r="293" spans="2:66" ht="13.05" customHeight="1">
      <c r="B293" s="3" t="s">
        <v>76</v>
      </c>
      <c r="C293" s="3"/>
      <c r="D293" s="3"/>
      <c r="E293" s="3"/>
      <c r="F293" s="3"/>
      <c r="G293" s="3"/>
      <c r="H293" s="1411" t="str">
        <f>M256</f>
        <v>psalib@crpaffrodable.com</v>
      </c>
      <c r="I293" s="1411"/>
      <c r="J293" s="1411"/>
      <c r="K293" s="1411"/>
      <c r="L293" s="1411"/>
      <c r="M293" s="1411"/>
      <c r="N293" s="1416"/>
      <c r="O293" s="1416"/>
      <c r="P293" s="1416"/>
      <c r="Q293" s="1416"/>
      <c r="R293" s="1416"/>
      <c r="S293" s="3"/>
      <c r="T293" s="3" t="s">
        <v>76</v>
      </c>
      <c r="V293" s="3"/>
      <c r="W293" s="3"/>
      <c r="X293" s="3"/>
      <c r="Y293" s="3"/>
      <c r="AA293" s="1410" t="s">
        <v>2755</v>
      </c>
      <c r="AB293" s="1411"/>
      <c r="AC293" s="1411"/>
      <c r="AD293" s="1411"/>
      <c r="AE293" s="1411"/>
      <c r="AF293" s="1411"/>
      <c r="AG293" s="1416"/>
      <c r="AH293" s="1416"/>
      <c r="AI293" s="1416"/>
      <c r="AJ293" s="1416"/>
      <c r="AK293" s="1416"/>
      <c r="BN293" s="34"/>
    </row>
    <row r="294" spans="2:66" ht="13.0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05" customHeight="1">
      <c r="B295" s="3" t="s">
        <v>324</v>
      </c>
      <c r="C295" s="3"/>
      <c r="D295" s="3"/>
      <c r="E295" s="3"/>
      <c r="F295" s="3"/>
      <c r="H295" s="1416" t="s">
        <v>2660</v>
      </c>
      <c r="I295" s="1416"/>
      <c r="J295" s="1416"/>
      <c r="K295" s="1416"/>
      <c r="L295" s="1416"/>
      <c r="M295" s="1416"/>
      <c r="N295" s="1416"/>
      <c r="O295" s="1416"/>
      <c r="P295" s="1416"/>
      <c r="Q295" s="1416"/>
      <c r="R295" s="1416"/>
      <c r="T295" s="3" t="s">
        <v>365</v>
      </c>
      <c r="V295" s="3"/>
      <c r="W295" s="3"/>
      <c r="X295" s="3"/>
      <c r="Y295" s="3"/>
      <c r="AA295" s="1416" t="s">
        <v>2656</v>
      </c>
      <c r="AB295" s="1416"/>
      <c r="AC295" s="1416"/>
      <c r="AD295" s="1416"/>
      <c r="AE295" s="1416"/>
      <c r="AF295" s="1416"/>
      <c r="AG295" s="1416"/>
      <c r="AH295" s="1416"/>
      <c r="AI295" s="1416"/>
      <c r="AJ295" s="1416"/>
      <c r="AK295" s="1416"/>
      <c r="BN295" s="34"/>
    </row>
    <row r="296" spans="2:66" ht="13.05" customHeight="1">
      <c r="B296" s="3" t="s">
        <v>479</v>
      </c>
      <c r="C296" s="3"/>
      <c r="D296" s="3"/>
      <c r="E296" s="3"/>
      <c r="F296" s="3"/>
      <c r="H296" s="1411" t="s">
        <v>2661</v>
      </c>
      <c r="I296" s="1411"/>
      <c r="J296" s="1411"/>
      <c r="K296" s="1411"/>
      <c r="L296" s="1411"/>
      <c r="M296" s="1411"/>
      <c r="N296" s="1411"/>
      <c r="O296" s="1411"/>
      <c r="P296" s="1411"/>
      <c r="Q296" s="1411"/>
      <c r="R296" s="1411"/>
      <c r="T296" s="3" t="s">
        <v>479</v>
      </c>
      <c r="V296" s="3"/>
      <c r="W296" s="3"/>
      <c r="X296" s="3"/>
      <c r="Y296" s="3"/>
      <c r="AA296" s="1411" t="s">
        <v>2644</v>
      </c>
      <c r="AB296" s="1411"/>
      <c r="AC296" s="1411"/>
      <c r="AD296" s="1411"/>
      <c r="AE296" s="1411"/>
      <c r="AF296" s="1411"/>
      <c r="AG296" s="1411"/>
      <c r="AH296" s="1411"/>
      <c r="AI296" s="1411"/>
      <c r="AJ296" s="1411"/>
      <c r="AK296" s="1411"/>
      <c r="BN296" s="34"/>
    </row>
    <row r="297" spans="2:66" ht="13.05" customHeight="1">
      <c r="B297" s="3" t="s">
        <v>480</v>
      </c>
      <c r="C297" s="3"/>
      <c r="D297" s="3"/>
      <c r="E297" s="3"/>
      <c r="F297" s="3"/>
      <c r="H297" s="1411" t="s">
        <v>2662</v>
      </c>
      <c r="I297" s="1411"/>
      <c r="J297" s="1411"/>
      <c r="K297" s="1411"/>
      <c r="L297" s="1411"/>
      <c r="M297" s="1411"/>
      <c r="N297" s="1411"/>
      <c r="O297" s="1411"/>
      <c r="P297" s="1411"/>
      <c r="Q297" s="1411"/>
      <c r="R297" s="1411"/>
      <c r="T297" s="3" t="s">
        <v>75</v>
      </c>
      <c r="V297" s="3"/>
      <c r="W297" s="3"/>
      <c r="X297" s="3"/>
      <c r="Y297" s="3"/>
      <c r="AA297" s="1411" t="s">
        <v>2657</v>
      </c>
      <c r="AB297" s="1411"/>
      <c r="AC297" s="1411"/>
      <c r="AD297" s="1411"/>
      <c r="AE297" s="1411"/>
      <c r="AF297" s="1411"/>
      <c r="AG297" s="1411"/>
      <c r="AH297" s="1411"/>
      <c r="AI297" s="1411"/>
      <c r="AJ297" s="1411"/>
      <c r="AK297" s="1411"/>
      <c r="BN297" s="34"/>
    </row>
    <row r="298" spans="2:66" ht="13.05" customHeight="1">
      <c r="B298" s="3" t="s">
        <v>87</v>
      </c>
      <c r="C298" s="3"/>
      <c r="D298" s="3"/>
      <c r="E298" s="3"/>
      <c r="F298" s="3"/>
      <c r="H298" s="1411" t="s">
        <v>2663</v>
      </c>
      <c r="I298" s="1411"/>
      <c r="J298" s="1411"/>
      <c r="K298" s="1411"/>
      <c r="L298" s="1411"/>
      <c r="M298" s="1411"/>
      <c r="N298" s="1411"/>
      <c r="O298" s="1411"/>
      <c r="P298" s="1411"/>
      <c r="Q298" s="1411"/>
      <c r="R298" s="1411"/>
      <c r="T298" s="3" t="s">
        <v>87</v>
      </c>
      <c r="V298" s="3"/>
      <c r="W298" s="3"/>
      <c r="X298" s="3"/>
      <c r="Y298" s="3"/>
      <c r="AA298" s="1411" t="s">
        <v>2658</v>
      </c>
      <c r="AB298" s="1411"/>
      <c r="AC298" s="1411"/>
      <c r="AD298" s="1411"/>
      <c r="AE298" s="1411"/>
      <c r="AF298" s="1411"/>
      <c r="AG298" s="1411"/>
      <c r="AH298" s="1411"/>
      <c r="AI298" s="1411"/>
      <c r="AJ298" s="1411"/>
      <c r="AK298" s="1411"/>
      <c r="BN298" s="34"/>
    </row>
    <row r="299" spans="2:66" ht="13.05" customHeight="1">
      <c r="B299" s="3" t="s">
        <v>88</v>
      </c>
      <c r="C299" s="3"/>
      <c r="D299" s="3"/>
      <c r="E299" s="3"/>
      <c r="F299" s="3"/>
      <c r="G299" s="3"/>
      <c r="H299" s="1825" t="s">
        <v>2674</v>
      </c>
      <c r="I299" s="1825"/>
      <c r="J299" s="1825"/>
      <c r="K299" s="1825"/>
      <c r="L299" s="1825"/>
      <c r="M299" s="1825"/>
      <c r="N299" s="4" t="s">
        <v>207</v>
      </c>
      <c r="O299" s="4"/>
      <c r="P299" s="1433"/>
      <c r="Q299" s="1433"/>
      <c r="R299" s="1433"/>
      <c r="S299" s="3"/>
      <c r="T299" s="3" t="s">
        <v>88</v>
      </c>
      <c r="V299" s="3"/>
      <c r="W299" s="3"/>
      <c r="X299" s="3"/>
      <c r="Y299" s="3"/>
      <c r="AA299" s="1703">
        <v>6193787878</v>
      </c>
      <c r="AB299" s="1703"/>
      <c r="AC299" s="1703"/>
      <c r="AD299" s="1703"/>
      <c r="AE299" s="1703"/>
      <c r="AF299" s="1703"/>
      <c r="AG299" s="4" t="s">
        <v>207</v>
      </c>
      <c r="AH299" s="4"/>
      <c r="AI299" s="1433"/>
      <c r="AJ299" s="1433"/>
      <c r="AK299" s="1433"/>
      <c r="BN299" s="34"/>
    </row>
    <row r="300" spans="2:66" ht="13.05" customHeight="1">
      <c r="B300" s="3" t="s">
        <v>89</v>
      </c>
      <c r="C300" s="3"/>
      <c r="D300" s="3"/>
      <c r="E300" s="3"/>
      <c r="F300" s="3"/>
      <c r="G300" s="3"/>
      <c r="H300" s="1477"/>
      <c r="I300" s="1477"/>
      <c r="J300" s="1477"/>
      <c r="K300" s="1477"/>
      <c r="L300" s="1477"/>
      <c r="M300" s="1477"/>
      <c r="N300" s="4"/>
      <c r="O300" s="4"/>
      <c r="P300" s="35"/>
      <c r="Q300" s="35"/>
      <c r="R300" s="35"/>
      <c r="S300" s="3"/>
      <c r="T300" s="3" t="s">
        <v>89</v>
      </c>
      <c r="V300" s="3"/>
      <c r="W300" s="3"/>
      <c r="X300" s="3"/>
      <c r="Y300" s="3"/>
      <c r="AA300" s="1477"/>
      <c r="AB300" s="1477"/>
      <c r="AC300" s="1477"/>
      <c r="AD300" s="1477"/>
      <c r="AE300" s="1477"/>
      <c r="AF300" s="1477"/>
      <c r="AG300" s="4"/>
      <c r="AH300" s="4"/>
      <c r="AI300" s="35"/>
      <c r="AJ300" s="35"/>
      <c r="AK300" s="35"/>
      <c r="BN300" s="34"/>
    </row>
    <row r="301" spans="2:66" ht="13.05" customHeight="1">
      <c r="B301" s="3" t="s">
        <v>76</v>
      </c>
      <c r="C301" s="3"/>
      <c r="D301" s="3"/>
      <c r="E301" s="3"/>
      <c r="F301" s="3"/>
      <c r="G301" s="3"/>
      <c r="H301" s="1411" t="s">
        <v>2664</v>
      </c>
      <c r="I301" s="1411"/>
      <c r="J301" s="1411"/>
      <c r="K301" s="1411"/>
      <c r="L301" s="1411"/>
      <c r="M301" s="1411"/>
      <c r="N301" s="1416"/>
      <c r="O301" s="1416"/>
      <c r="P301" s="1416"/>
      <c r="Q301" s="1416"/>
      <c r="R301" s="1416"/>
      <c r="S301" s="3"/>
      <c r="T301" s="3" t="s">
        <v>76</v>
      </c>
      <c r="V301" s="3"/>
      <c r="W301" s="3"/>
      <c r="X301" s="3"/>
      <c r="Y301" s="3"/>
      <c r="AA301" s="1411" t="s">
        <v>2659</v>
      </c>
      <c r="AB301" s="1411"/>
      <c r="AC301" s="1411"/>
      <c r="AD301" s="1411"/>
      <c r="AE301" s="1411"/>
      <c r="AF301" s="1411"/>
      <c r="AG301" s="1416"/>
      <c r="AH301" s="1416"/>
      <c r="AI301" s="1416"/>
      <c r="AJ301" s="1416"/>
      <c r="AK301" s="1416"/>
      <c r="BN301" s="34"/>
    </row>
    <row r="302" spans="2:66" ht="13.05" customHeight="1">
      <c r="BN302" s="34"/>
    </row>
    <row r="303" spans="2:66" ht="13.05" customHeight="1">
      <c r="B303" s="3" t="s">
        <v>77</v>
      </c>
      <c r="C303" s="3"/>
      <c r="D303" s="3"/>
      <c r="E303" s="3"/>
      <c r="F303" s="3"/>
      <c r="H303" s="1416" t="s">
        <v>2665</v>
      </c>
      <c r="I303" s="1416"/>
      <c r="J303" s="1416"/>
      <c r="K303" s="1416"/>
      <c r="L303" s="1416"/>
      <c r="M303" s="1416"/>
      <c r="N303" s="1416"/>
      <c r="O303" s="1416"/>
      <c r="P303" s="1416"/>
      <c r="Q303" s="1416"/>
      <c r="R303" s="1416"/>
      <c r="T303" s="4" t="s">
        <v>889</v>
      </c>
      <c r="V303" s="3"/>
      <c r="W303" s="3"/>
      <c r="X303" s="3"/>
      <c r="Y303" s="3"/>
      <c r="AA303" s="1432" t="s">
        <v>2683</v>
      </c>
      <c r="AB303" s="1416"/>
      <c r="AC303" s="1416"/>
      <c r="AD303" s="1416"/>
      <c r="AE303" s="1416"/>
      <c r="AF303" s="1416"/>
      <c r="AG303" s="1416"/>
      <c r="AH303" s="1416"/>
      <c r="AI303" s="1416"/>
      <c r="AJ303" s="1416"/>
      <c r="AK303" s="1416"/>
      <c r="BN303" s="34"/>
    </row>
    <row r="304" spans="2:66" ht="13.05" customHeight="1">
      <c r="B304" s="3" t="s">
        <v>479</v>
      </c>
      <c r="C304" s="3"/>
      <c r="D304" s="3"/>
      <c r="E304" s="3"/>
      <c r="F304" s="3"/>
      <c r="H304" s="1411" t="s">
        <v>2666</v>
      </c>
      <c r="I304" s="1411"/>
      <c r="J304" s="1411"/>
      <c r="K304" s="1411"/>
      <c r="L304" s="1411"/>
      <c r="M304" s="1411"/>
      <c r="N304" s="1411"/>
      <c r="O304" s="1411"/>
      <c r="P304" s="1411"/>
      <c r="Q304" s="1411"/>
      <c r="R304" s="1411"/>
      <c r="T304" s="3" t="s">
        <v>479</v>
      </c>
      <c r="V304" s="3"/>
      <c r="W304" s="3"/>
      <c r="X304" s="3"/>
      <c r="Y304" s="3"/>
      <c r="AA304" s="1410" t="s">
        <v>2684</v>
      </c>
      <c r="AB304" s="1411"/>
      <c r="AC304" s="1411"/>
      <c r="AD304" s="1411"/>
      <c r="AE304" s="1411"/>
      <c r="AF304" s="1411"/>
      <c r="AG304" s="1411"/>
      <c r="AH304" s="1411"/>
      <c r="AI304" s="1411"/>
      <c r="AJ304" s="1411"/>
      <c r="AK304" s="1411"/>
      <c r="BN304" s="34"/>
    </row>
    <row r="305" spans="2:66" ht="13.05" customHeight="1">
      <c r="B305" s="3" t="s">
        <v>480</v>
      </c>
      <c r="C305" s="3"/>
      <c r="D305" s="3"/>
      <c r="E305" s="3"/>
      <c r="F305" s="3"/>
      <c r="H305" s="1411" t="s">
        <v>2667</v>
      </c>
      <c r="I305" s="1411"/>
      <c r="J305" s="1411"/>
      <c r="K305" s="1411"/>
      <c r="L305" s="1411"/>
      <c r="M305" s="1411"/>
      <c r="N305" s="1411"/>
      <c r="O305" s="1411"/>
      <c r="P305" s="1411"/>
      <c r="Q305" s="1411"/>
      <c r="R305" s="1411"/>
      <c r="T305" s="3" t="s">
        <v>75</v>
      </c>
      <c r="V305" s="3"/>
      <c r="W305" s="3"/>
      <c r="X305" s="3"/>
      <c r="Y305" s="3"/>
      <c r="AA305" s="1410" t="s">
        <v>2685</v>
      </c>
      <c r="AB305" s="1411"/>
      <c r="AC305" s="1411"/>
      <c r="AD305" s="1411"/>
      <c r="AE305" s="1411"/>
      <c r="AF305" s="1411"/>
      <c r="AG305" s="1411"/>
      <c r="AH305" s="1411"/>
      <c r="AI305" s="1411"/>
      <c r="AJ305" s="1411"/>
      <c r="AK305" s="1411"/>
      <c r="BN305" s="34"/>
    </row>
    <row r="306" spans="2:66" ht="13.05" customHeight="1">
      <c r="B306" s="3" t="s">
        <v>87</v>
      </c>
      <c r="C306" s="3"/>
      <c r="D306" s="3"/>
      <c r="E306" s="3"/>
      <c r="F306" s="3"/>
      <c r="H306" s="1411" t="s">
        <v>2668</v>
      </c>
      <c r="I306" s="1411"/>
      <c r="J306" s="1411"/>
      <c r="K306" s="1411"/>
      <c r="L306" s="1411"/>
      <c r="M306" s="1411"/>
      <c r="N306" s="1411"/>
      <c r="O306" s="1411"/>
      <c r="P306" s="1411"/>
      <c r="Q306" s="1411"/>
      <c r="R306" s="1411"/>
      <c r="T306" s="3" t="s">
        <v>87</v>
      </c>
      <c r="V306" s="3"/>
      <c r="W306" s="3"/>
      <c r="X306" s="3"/>
      <c r="Y306" s="3"/>
      <c r="AA306" s="1410" t="s">
        <v>2686</v>
      </c>
      <c r="AB306" s="1411"/>
      <c r="AC306" s="1411"/>
      <c r="AD306" s="1411"/>
      <c r="AE306" s="1411"/>
      <c r="AF306" s="1411"/>
      <c r="AG306" s="1411"/>
      <c r="AH306" s="1411"/>
      <c r="AI306" s="1411"/>
      <c r="AJ306" s="1411"/>
      <c r="AK306" s="1411"/>
      <c r="BN306" s="34"/>
    </row>
    <row r="307" spans="2:66" ht="13.05" customHeight="1">
      <c r="B307" s="3" t="s">
        <v>88</v>
      </c>
      <c r="C307" s="3"/>
      <c r="D307" s="3"/>
      <c r="E307" s="3"/>
      <c r="F307" s="3"/>
      <c r="G307" s="3"/>
      <c r="H307" s="1703">
        <v>4254535783</v>
      </c>
      <c r="I307" s="1703"/>
      <c r="J307" s="1703"/>
      <c r="K307" s="1703"/>
      <c r="L307" s="1703"/>
      <c r="M307" s="1703"/>
      <c r="N307" s="4" t="s">
        <v>207</v>
      </c>
      <c r="O307" s="4"/>
      <c r="P307" s="1433"/>
      <c r="Q307" s="1433"/>
      <c r="R307" s="1433"/>
      <c r="S307" s="3"/>
      <c r="T307" s="3" t="s">
        <v>88</v>
      </c>
      <c r="V307" s="3"/>
      <c r="W307" s="3"/>
      <c r="X307" s="3"/>
      <c r="Y307" s="3"/>
      <c r="AA307" s="1825" t="s">
        <v>2687</v>
      </c>
      <c r="AB307" s="1825"/>
      <c r="AC307" s="1825"/>
      <c r="AD307" s="1825"/>
      <c r="AE307" s="1825"/>
      <c r="AF307" s="1825"/>
      <c r="AG307" s="4" t="s">
        <v>207</v>
      </c>
      <c r="AH307" s="4"/>
      <c r="AI307" s="1433"/>
      <c r="AJ307" s="1433"/>
      <c r="AK307" s="1433"/>
      <c r="BN307" s="34"/>
    </row>
    <row r="308" spans="2:66" ht="13.05" customHeight="1">
      <c r="B308" s="3" t="s">
        <v>89</v>
      </c>
      <c r="C308" s="3"/>
      <c r="D308" s="3"/>
      <c r="E308" s="3"/>
      <c r="F308" s="3"/>
      <c r="G308" s="3"/>
      <c r="H308" s="1477"/>
      <c r="I308" s="1477"/>
      <c r="J308" s="1477"/>
      <c r="K308" s="1477"/>
      <c r="L308" s="1477"/>
      <c r="M308" s="1477"/>
      <c r="N308" s="4"/>
      <c r="O308" s="4"/>
      <c r="P308" s="35"/>
      <c r="Q308" s="35"/>
      <c r="R308" s="35"/>
      <c r="S308" s="3"/>
      <c r="T308" s="3" t="s">
        <v>89</v>
      </c>
      <c r="V308" s="3"/>
      <c r="W308" s="3"/>
      <c r="X308" s="3"/>
      <c r="Y308" s="3"/>
      <c r="AA308" s="1477" t="s">
        <v>2688</v>
      </c>
      <c r="AB308" s="1477"/>
      <c r="AC308" s="1477"/>
      <c r="AD308" s="1477"/>
      <c r="AE308" s="1477"/>
      <c r="AF308" s="1477"/>
      <c r="AG308" s="4"/>
      <c r="AH308" s="4"/>
      <c r="AI308" s="35"/>
      <c r="AJ308" s="35"/>
      <c r="AK308" s="35"/>
      <c r="BN308" s="34"/>
    </row>
    <row r="309" spans="2:66" ht="13.05" customHeight="1">
      <c r="B309" s="3" t="s">
        <v>76</v>
      </c>
      <c r="C309" s="3"/>
      <c r="D309" s="3"/>
      <c r="E309" s="3"/>
      <c r="F309" s="3"/>
      <c r="G309" s="3"/>
      <c r="H309" s="1411" t="s">
        <v>2669</v>
      </c>
      <c r="I309" s="1411"/>
      <c r="J309" s="1411"/>
      <c r="K309" s="1411"/>
      <c r="L309" s="1411"/>
      <c r="M309" s="1411"/>
      <c r="N309" s="1416"/>
      <c r="O309" s="1416"/>
      <c r="P309" s="1416"/>
      <c r="Q309" s="1416"/>
      <c r="R309" s="1416"/>
      <c r="S309" s="3"/>
      <c r="T309" s="3" t="s">
        <v>76</v>
      </c>
      <c r="V309" s="3"/>
      <c r="W309" s="3"/>
      <c r="X309" s="3"/>
      <c r="Y309" s="3"/>
      <c r="AA309" s="1411" t="s">
        <v>2689</v>
      </c>
      <c r="AB309" s="1411"/>
      <c r="AC309" s="1411"/>
      <c r="AD309" s="1411"/>
      <c r="AE309" s="1411"/>
      <c r="AF309" s="1411"/>
      <c r="AG309" s="1416"/>
      <c r="AH309" s="1416"/>
      <c r="AI309" s="1416"/>
      <c r="AJ309" s="1416"/>
      <c r="AK309" s="1416"/>
      <c r="BN309" s="34"/>
    </row>
    <row r="310" spans="2:66" ht="13.0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05" customHeight="1">
      <c r="B311" s="4" t="s">
        <v>921</v>
      </c>
      <c r="C311" s="3"/>
      <c r="D311" s="3"/>
      <c r="E311" s="3"/>
      <c r="F311" s="3"/>
      <c r="H311" s="1416" t="s">
        <v>2665</v>
      </c>
      <c r="I311" s="1416"/>
      <c r="J311" s="1416"/>
      <c r="K311" s="1416"/>
      <c r="L311" s="1416"/>
      <c r="M311" s="1416"/>
      <c r="N311" s="1416"/>
      <c r="O311" s="1416"/>
      <c r="P311" s="1416"/>
      <c r="Q311" s="1416"/>
      <c r="R311" s="1416"/>
      <c r="S311" s="3"/>
      <c r="T311" s="3" t="s">
        <v>366</v>
      </c>
      <c r="V311" s="3"/>
      <c r="W311" s="3"/>
      <c r="X311" s="3"/>
      <c r="Y311" s="3"/>
      <c r="AA311" s="1416" t="s">
        <v>2776</v>
      </c>
      <c r="AB311" s="1416"/>
      <c r="AC311" s="1416"/>
      <c r="AD311" s="1416"/>
      <c r="AE311" s="1416"/>
      <c r="AF311" s="1416"/>
      <c r="AG311" s="1416"/>
      <c r="AH311" s="1416"/>
      <c r="AI311" s="1416"/>
      <c r="AJ311" s="1416"/>
      <c r="AK311" s="1416"/>
      <c r="BN311" s="34"/>
    </row>
    <row r="312" spans="2:66" ht="13.05" customHeight="1">
      <c r="B312" s="3" t="s">
        <v>479</v>
      </c>
      <c r="C312" s="3"/>
      <c r="D312" s="3"/>
      <c r="E312" s="3"/>
      <c r="F312" s="3"/>
      <c r="H312" s="1411" t="s">
        <v>2666</v>
      </c>
      <c r="I312" s="1411"/>
      <c r="J312" s="1411"/>
      <c r="K312" s="1411"/>
      <c r="L312" s="1411"/>
      <c r="M312" s="1411"/>
      <c r="N312" s="1411"/>
      <c r="O312" s="1411"/>
      <c r="P312" s="1411"/>
      <c r="Q312" s="1411"/>
      <c r="R312" s="1411"/>
      <c r="S312" s="3"/>
      <c r="T312" s="3" t="s">
        <v>479</v>
      </c>
      <c r="V312" s="3"/>
      <c r="W312" s="3"/>
      <c r="X312" s="3"/>
      <c r="Y312" s="3"/>
      <c r="AA312" s="1411" t="s">
        <v>2777</v>
      </c>
      <c r="AB312" s="1411"/>
      <c r="AC312" s="1411"/>
      <c r="AD312" s="1411"/>
      <c r="AE312" s="1411"/>
      <c r="AF312" s="1411"/>
      <c r="AG312" s="1411"/>
      <c r="AH312" s="1411"/>
      <c r="AI312" s="1411"/>
      <c r="AJ312" s="1411"/>
      <c r="AK312" s="1411"/>
      <c r="BN312" s="34"/>
    </row>
    <row r="313" spans="2:66" ht="13.05" customHeight="1">
      <c r="B313" s="3" t="s">
        <v>480</v>
      </c>
      <c r="C313" s="3"/>
      <c r="D313" s="3"/>
      <c r="E313" s="3"/>
      <c r="F313" s="3"/>
      <c r="H313" s="1411" t="s">
        <v>2667</v>
      </c>
      <c r="I313" s="1411"/>
      <c r="J313" s="1411"/>
      <c r="K313" s="1411"/>
      <c r="L313" s="1411"/>
      <c r="M313" s="1411"/>
      <c r="N313" s="1411"/>
      <c r="O313" s="1411"/>
      <c r="P313" s="1411"/>
      <c r="Q313" s="1411"/>
      <c r="R313" s="1411"/>
      <c r="S313" s="3"/>
      <c r="T313" s="3" t="s">
        <v>75</v>
      </c>
      <c r="V313" s="3"/>
      <c r="W313" s="3"/>
      <c r="X313" s="3"/>
      <c r="Y313" s="3"/>
      <c r="AA313" s="1411" t="s">
        <v>2778</v>
      </c>
      <c r="AB313" s="1411"/>
      <c r="AC313" s="1411"/>
      <c r="AD313" s="1411"/>
      <c r="AE313" s="1411"/>
      <c r="AF313" s="1411"/>
      <c r="AG313" s="1411"/>
      <c r="AH313" s="1411"/>
      <c r="AI313" s="1411"/>
      <c r="AJ313" s="1411"/>
      <c r="AK313" s="1411"/>
      <c r="BN313" s="34"/>
    </row>
    <row r="314" spans="2:66" ht="13.05" customHeight="1">
      <c r="B314" s="3" t="s">
        <v>87</v>
      </c>
      <c r="C314" s="3"/>
      <c r="D314" s="3"/>
      <c r="E314" s="3"/>
      <c r="F314" s="3"/>
      <c r="H314" s="1411" t="s">
        <v>2668</v>
      </c>
      <c r="I314" s="1411"/>
      <c r="J314" s="1411"/>
      <c r="K314" s="1411"/>
      <c r="L314" s="1411"/>
      <c r="M314" s="1411"/>
      <c r="N314" s="1411"/>
      <c r="O314" s="1411"/>
      <c r="P314" s="1411"/>
      <c r="Q314" s="1411"/>
      <c r="R314" s="1411"/>
      <c r="S314" s="3"/>
      <c r="T314" s="3" t="s">
        <v>87</v>
      </c>
      <c r="V314" s="3"/>
      <c r="W314" s="3"/>
      <c r="X314" s="3"/>
      <c r="Y314" s="3"/>
      <c r="AA314" s="1411" t="s">
        <v>2774</v>
      </c>
      <c r="AB314" s="1411"/>
      <c r="AC314" s="1411"/>
      <c r="AD314" s="1411"/>
      <c r="AE314" s="1411"/>
      <c r="AF314" s="1411"/>
      <c r="AG314" s="1411"/>
      <c r="AH314" s="1411"/>
      <c r="AI314" s="1411"/>
      <c r="AJ314" s="1411"/>
      <c r="AK314" s="1411"/>
      <c r="BN314" s="34"/>
    </row>
    <row r="315" spans="2:66" ht="13.05" customHeight="1">
      <c r="B315" s="3" t="s">
        <v>88</v>
      </c>
      <c r="C315" s="3"/>
      <c r="D315" s="3"/>
      <c r="E315" s="3"/>
      <c r="F315" s="3"/>
      <c r="G315" s="3"/>
      <c r="H315" s="1703" t="s">
        <v>2682</v>
      </c>
      <c r="I315" s="1703"/>
      <c r="J315" s="1703"/>
      <c r="K315" s="1703"/>
      <c r="L315" s="1703"/>
      <c r="M315" s="1703"/>
      <c r="N315" s="4" t="s">
        <v>207</v>
      </c>
      <c r="O315" s="4"/>
      <c r="P315" s="1433"/>
      <c r="Q315" s="1433"/>
      <c r="R315" s="1433"/>
      <c r="S315" s="3"/>
      <c r="T315" s="3" t="s">
        <v>88</v>
      </c>
      <c r="V315" s="3"/>
      <c r="W315" s="3"/>
      <c r="X315" s="3"/>
      <c r="Y315" s="3"/>
      <c r="AA315" s="1703">
        <v>8587522066</v>
      </c>
      <c r="AB315" s="1703"/>
      <c r="AC315" s="1703"/>
      <c r="AD315" s="1703"/>
      <c r="AE315" s="1703"/>
      <c r="AF315" s="1703"/>
      <c r="AG315" s="4" t="s">
        <v>207</v>
      </c>
      <c r="AH315" s="4"/>
      <c r="AI315" s="1433"/>
      <c r="AJ315" s="1433"/>
      <c r="AK315" s="1433"/>
      <c r="BN315" s="34"/>
    </row>
    <row r="316" spans="2:66" ht="13.05" customHeight="1">
      <c r="B316" s="3" t="s">
        <v>89</v>
      </c>
      <c r="C316" s="3"/>
      <c r="D316" s="3"/>
      <c r="E316" s="3"/>
      <c r="F316" s="3"/>
      <c r="G316" s="3"/>
      <c r="H316" s="1477"/>
      <c r="I316" s="1477"/>
      <c r="J316" s="1477"/>
      <c r="K316" s="1477"/>
      <c r="L316" s="1477"/>
      <c r="M316" s="1477"/>
      <c r="N316" s="4"/>
      <c r="O316" s="4"/>
      <c r="P316" s="35"/>
      <c r="Q316" s="35"/>
      <c r="R316" s="35"/>
      <c r="S316" s="3"/>
      <c r="T316" s="3" t="s">
        <v>89</v>
      </c>
      <c r="V316" s="3"/>
      <c r="W316" s="3"/>
      <c r="X316" s="3"/>
      <c r="Y316" s="3"/>
      <c r="AA316" s="1477"/>
      <c r="AB316" s="1477"/>
      <c r="AC316" s="1477"/>
      <c r="AD316" s="1477"/>
      <c r="AE316" s="1477"/>
      <c r="AF316" s="1477"/>
      <c r="AG316" s="4"/>
      <c r="AH316" s="4"/>
      <c r="AI316" s="35"/>
      <c r="AJ316" s="35"/>
      <c r="AK316" s="35"/>
      <c r="BN316" s="34"/>
    </row>
    <row r="317" spans="2:66" ht="13.05" customHeight="1">
      <c r="B317" s="3" t="s">
        <v>76</v>
      </c>
      <c r="C317" s="3"/>
      <c r="D317" s="3"/>
      <c r="E317" s="3"/>
      <c r="F317" s="3"/>
      <c r="G317" s="3"/>
      <c r="H317" s="1411" t="s">
        <v>2669</v>
      </c>
      <c r="I317" s="1411"/>
      <c r="J317" s="1411"/>
      <c r="K317" s="1411"/>
      <c r="L317" s="1411"/>
      <c r="M317" s="1411"/>
      <c r="N317" s="1416"/>
      <c r="O317" s="1416"/>
      <c r="P317" s="1416"/>
      <c r="Q317" s="1416"/>
      <c r="R317" s="1416"/>
      <c r="S317" s="3"/>
      <c r="T317" s="3" t="s">
        <v>76</v>
      </c>
      <c r="V317" s="3"/>
      <c r="W317" s="3"/>
      <c r="X317" s="3"/>
      <c r="Y317" s="3"/>
      <c r="AA317" s="1411" t="s">
        <v>2775</v>
      </c>
      <c r="AB317" s="1411"/>
      <c r="AC317" s="1411"/>
      <c r="AD317" s="1411"/>
      <c r="AE317" s="1411"/>
      <c r="AF317" s="1411"/>
      <c r="AG317" s="1416"/>
      <c r="AH317" s="1416"/>
      <c r="AI317" s="1416"/>
      <c r="AJ317" s="1416"/>
      <c r="AK317" s="1416"/>
      <c r="BN317" s="34"/>
    </row>
    <row r="318" spans="2:66" ht="13.05" customHeight="1">
      <c r="BN318" s="34"/>
    </row>
    <row r="319" spans="2:66" ht="13.05" customHeight="1">
      <c r="B319" s="4" t="s">
        <v>922</v>
      </c>
      <c r="C319" s="3"/>
      <c r="D319" s="3"/>
      <c r="E319" s="3"/>
      <c r="F319" s="3"/>
      <c r="H319" s="1416"/>
      <c r="I319" s="1416"/>
      <c r="J319" s="1416"/>
      <c r="K319" s="1416"/>
      <c r="L319" s="1416"/>
      <c r="M319" s="1416"/>
      <c r="N319" s="1416"/>
      <c r="O319" s="1416"/>
      <c r="P319" s="1416"/>
      <c r="Q319" s="1416"/>
      <c r="R319" s="1416"/>
      <c r="T319" s="3" t="s">
        <v>367</v>
      </c>
      <c r="V319" s="3"/>
      <c r="W319" s="3"/>
      <c r="X319" s="3"/>
      <c r="Y319" s="3"/>
      <c r="AA319" s="1416" t="s">
        <v>2665</v>
      </c>
      <c r="AB319" s="1416"/>
      <c r="AC319" s="1416"/>
      <c r="AD319" s="1416"/>
      <c r="AE319" s="1416"/>
      <c r="AF319" s="1416"/>
      <c r="AG319" s="1416"/>
      <c r="AH319" s="1416"/>
      <c r="AI319" s="1416"/>
      <c r="AJ319" s="1416"/>
      <c r="AK319" s="1416"/>
      <c r="BN319" s="34"/>
    </row>
    <row r="320" spans="2:66" ht="13.05" customHeight="1">
      <c r="B320" s="3" t="s">
        <v>479</v>
      </c>
      <c r="C320" s="3"/>
      <c r="D320" s="3"/>
      <c r="E320" s="3"/>
      <c r="F320" s="3"/>
      <c r="H320" s="1411"/>
      <c r="I320" s="1411"/>
      <c r="J320" s="1411"/>
      <c r="K320" s="1411"/>
      <c r="L320" s="1411"/>
      <c r="M320" s="1411"/>
      <c r="N320" s="1411"/>
      <c r="O320" s="1411"/>
      <c r="P320" s="1411"/>
      <c r="Q320" s="1411"/>
      <c r="R320" s="1411"/>
      <c r="T320" s="3" t="s">
        <v>479</v>
      </c>
      <c r="V320" s="3"/>
      <c r="W320" s="3"/>
      <c r="X320" s="3"/>
      <c r="Y320" s="3"/>
      <c r="AA320" s="1411" t="s">
        <v>2670</v>
      </c>
      <c r="AB320" s="1411"/>
      <c r="AC320" s="1411"/>
      <c r="AD320" s="1411"/>
      <c r="AE320" s="1411"/>
      <c r="AF320" s="1411"/>
      <c r="AG320" s="1411"/>
      <c r="AH320" s="1411"/>
      <c r="AI320" s="1411"/>
      <c r="AJ320" s="1411"/>
      <c r="AK320" s="1411"/>
      <c r="BN320" s="34"/>
    </row>
    <row r="321" spans="2:66" ht="13.05" customHeight="1">
      <c r="B321" s="3" t="s">
        <v>480</v>
      </c>
      <c r="C321" s="3"/>
      <c r="D321" s="3"/>
      <c r="E321" s="3"/>
      <c r="F321" s="3"/>
      <c r="H321" s="1411"/>
      <c r="I321" s="1411"/>
      <c r="J321" s="1411"/>
      <c r="K321" s="1411"/>
      <c r="L321" s="1411"/>
      <c r="M321" s="1411"/>
      <c r="N321" s="1411"/>
      <c r="O321" s="1411"/>
      <c r="P321" s="1411"/>
      <c r="Q321" s="1411"/>
      <c r="R321" s="1411"/>
      <c r="T321" s="3" t="s">
        <v>75</v>
      </c>
      <c r="V321" s="3"/>
      <c r="W321" s="3"/>
      <c r="X321" s="3"/>
      <c r="Y321" s="3"/>
      <c r="AA321" s="1411" t="s">
        <v>2671</v>
      </c>
      <c r="AB321" s="1411"/>
      <c r="AC321" s="1411"/>
      <c r="AD321" s="1411"/>
      <c r="AE321" s="1411"/>
      <c r="AF321" s="1411"/>
      <c r="AG321" s="1411"/>
      <c r="AH321" s="1411"/>
      <c r="AI321" s="1411"/>
      <c r="AJ321" s="1411"/>
      <c r="AK321" s="1411"/>
      <c r="BN321" s="34"/>
    </row>
    <row r="322" spans="2:66" ht="13.05" customHeight="1">
      <c r="B322" s="3" t="s">
        <v>87</v>
      </c>
      <c r="C322" s="3"/>
      <c r="D322" s="3"/>
      <c r="E322" s="3"/>
      <c r="F322" s="3"/>
      <c r="H322" s="1411"/>
      <c r="I322" s="1411"/>
      <c r="J322" s="1411"/>
      <c r="K322" s="1411"/>
      <c r="L322" s="1411"/>
      <c r="M322" s="1411"/>
      <c r="N322" s="1411"/>
      <c r="O322" s="1411"/>
      <c r="P322" s="1411"/>
      <c r="Q322" s="1411"/>
      <c r="R322" s="1411"/>
      <c r="T322" s="3" t="s">
        <v>87</v>
      </c>
      <c r="V322" s="3"/>
      <c r="W322" s="3"/>
      <c r="X322" s="3"/>
      <c r="Y322" s="3"/>
      <c r="AA322" s="1411" t="s">
        <v>2672</v>
      </c>
      <c r="AB322" s="1411"/>
      <c r="AC322" s="1411"/>
      <c r="AD322" s="1411"/>
      <c r="AE322" s="1411"/>
      <c r="AF322" s="1411"/>
      <c r="AG322" s="1411"/>
      <c r="AH322" s="1411"/>
      <c r="AI322" s="1411"/>
      <c r="AJ322" s="1411"/>
      <c r="AK322" s="1411"/>
      <c r="BN322" s="34"/>
    </row>
    <row r="323" spans="2:66" ht="13.05" customHeight="1">
      <c r="B323" s="3" t="s">
        <v>88</v>
      </c>
      <c r="C323" s="3"/>
      <c r="D323" s="3"/>
      <c r="E323" s="3"/>
      <c r="F323" s="3"/>
      <c r="G323" s="3"/>
      <c r="H323" s="1703"/>
      <c r="I323" s="1703"/>
      <c r="J323" s="1703"/>
      <c r="K323" s="1703"/>
      <c r="L323" s="1703"/>
      <c r="M323" s="1703"/>
      <c r="N323" s="4" t="s">
        <v>207</v>
      </c>
      <c r="O323" s="4"/>
      <c r="P323" s="1433"/>
      <c r="Q323" s="1433"/>
      <c r="R323" s="1433"/>
      <c r="S323" s="3"/>
      <c r="T323" s="3" t="s">
        <v>88</v>
      </c>
      <c r="V323" s="3"/>
      <c r="W323" s="3"/>
      <c r="X323" s="3"/>
      <c r="Y323" s="3"/>
      <c r="AA323" s="1703">
        <v>9133124612</v>
      </c>
      <c r="AB323" s="1703"/>
      <c r="AC323" s="1703"/>
      <c r="AD323" s="1703"/>
      <c r="AE323" s="1703"/>
      <c r="AF323" s="1703"/>
      <c r="AG323" s="4" t="s">
        <v>207</v>
      </c>
      <c r="AH323" s="4"/>
      <c r="AI323" s="1433"/>
      <c r="AJ323" s="1433"/>
      <c r="AK323" s="1433"/>
    </row>
    <row r="324" spans="2:66" ht="13.05" customHeight="1">
      <c r="B324" s="3" t="s">
        <v>89</v>
      </c>
      <c r="C324" s="3"/>
      <c r="D324" s="3"/>
      <c r="E324" s="3"/>
      <c r="F324" s="3"/>
      <c r="G324" s="3"/>
      <c r="H324" s="1477"/>
      <c r="I324" s="1477"/>
      <c r="J324" s="1477"/>
      <c r="K324" s="1477"/>
      <c r="L324" s="1477"/>
      <c r="M324" s="1477"/>
      <c r="N324" s="4"/>
      <c r="O324" s="4"/>
      <c r="P324" s="35"/>
      <c r="Q324" s="35"/>
      <c r="R324" s="35"/>
      <c r="S324" s="3"/>
      <c r="T324" s="3" t="s">
        <v>89</v>
      </c>
      <c r="V324" s="3"/>
      <c r="W324" s="3"/>
      <c r="X324" s="3"/>
      <c r="Y324" s="3"/>
      <c r="AA324" s="1477"/>
      <c r="AB324" s="1477"/>
      <c r="AC324" s="1477"/>
      <c r="AD324" s="1477"/>
      <c r="AE324" s="1477"/>
      <c r="AF324" s="1477"/>
      <c r="AG324" s="4"/>
      <c r="AH324" s="4"/>
      <c r="AI324" s="35"/>
      <c r="AJ324" s="35"/>
      <c r="AK324" s="35"/>
    </row>
    <row r="325" spans="2:66" ht="13.05" customHeight="1">
      <c r="B325" s="3" t="s">
        <v>76</v>
      </c>
      <c r="C325" s="3"/>
      <c r="D325" s="3"/>
      <c r="E325" s="3"/>
      <c r="F325" s="3"/>
      <c r="G325" s="3"/>
      <c r="H325" s="1411"/>
      <c r="I325" s="1411"/>
      <c r="J325" s="1411"/>
      <c r="K325" s="1411"/>
      <c r="L325" s="1411"/>
      <c r="M325" s="1411"/>
      <c r="N325" s="1416"/>
      <c r="O325" s="1416"/>
      <c r="P325" s="1416"/>
      <c r="Q325" s="1416"/>
      <c r="R325" s="1416"/>
      <c r="S325" s="3"/>
      <c r="T325" s="3" t="s">
        <v>76</v>
      </c>
      <c r="V325" s="3"/>
      <c r="W325" s="3"/>
      <c r="X325" s="3"/>
      <c r="Y325" s="3"/>
      <c r="AA325" s="1411" t="s">
        <v>2673</v>
      </c>
      <c r="AB325" s="1411"/>
      <c r="AC325" s="1411"/>
      <c r="AD325" s="1411"/>
      <c r="AE325" s="1411"/>
      <c r="AF325" s="1411"/>
      <c r="AG325" s="1416"/>
      <c r="AH325" s="1416"/>
      <c r="AI325" s="1416"/>
      <c r="AJ325" s="1416"/>
      <c r="AK325" s="1416"/>
    </row>
    <row r="326" spans="2:66" ht="13.05" customHeight="1">
      <c r="B326" s="3"/>
      <c r="C326" s="3"/>
      <c r="D326" s="3"/>
      <c r="E326" s="3"/>
      <c r="F326" s="3"/>
      <c r="G326" s="3"/>
      <c r="P326" s="163"/>
      <c r="Q326" s="163"/>
      <c r="R326" s="163"/>
      <c r="S326" s="163"/>
      <c r="T326" s="163"/>
      <c r="U326" s="163"/>
      <c r="V326" s="4"/>
      <c r="W326" s="4"/>
      <c r="X326" s="35"/>
      <c r="Y326" s="35"/>
      <c r="Z326" s="35"/>
    </row>
    <row r="327" spans="2:66" ht="13.05" customHeight="1">
      <c r="B327" s="3" t="s">
        <v>368</v>
      </c>
      <c r="C327" s="3"/>
      <c r="D327" s="3"/>
      <c r="E327" s="3"/>
      <c r="F327" s="3"/>
      <c r="H327" s="1416" t="s">
        <v>2665</v>
      </c>
      <c r="I327" s="1416"/>
      <c r="J327" s="1416"/>
      <c r="K327" s="1416"/>
      <c r="L327" s="1416"/>
      <c r="M327" s="1416"/>
      <c r="N327" s="1416"/>
      <c r="O327" s="1416"/>
      <c r="P327" s="1416"/>
      <c r="Q327" s="1416"/>
      <c r="R327" s="1416"/>
      <c r="T327" s="3" t="s">
        <v>369</v>
      </c>
      <c r="V327" s="3"/>
      <c r="W327" s="3"/>
      <c r="X327" s="3"/>
      <c r="Y327" s="3"/>
      <c r="AA327" s="1416" t="s">
        <v>599</v>
      </c>
      <c r="AB327" s="1416"/>
      <c r="AC327" s="1416"/>
      <c r="AD327" s="1416"/>
      <c r="AE327" s="1416"/>
      <c r="AF327" s="1416"/>
      <c r="AG327" s="1416"/>
      <c r="AH327" s="1416"/>
      <c r="AI327" s="1416"/>
      <c r="AJ327" s="1416"/>
      <c r="AK327" s="1416"/>
    </row>
    <row r="328" spans="2:66" ht="13.05" customHeight="1">
      <c r="B328" s="3" t="s">
        <v>479</v>
      </c>
      <c r="C328" s="3"/>
      <c r="D328" s="3"/>
      <c r="E328" s="3"/>
      <c r="F328" s="3"/>
      <c r="H328" s="1411" t="s">
        <v>2670</v>
      </c>
      <c r="I328" s="1411"/>
      <c r="J328" s="1411"/>
      <c r="K328" s="1411"/>
      <c r="L328" s="1411"/>
      <c r="M328" s="1411"/>
      <c r="N328" s="1411"/>
      <c r="O328" s="1411"/>
      <c r="P328" s="1411"/>
      <c r="Q328" s="1411"/>
      <c r="R328" s="1411"/>
      <c r="T328" s="3" t="s">
        <v>479</v>
      </c>
      <c r="V328" s="3"/>
      <c r="W328" s="3"/>
      <c r="X328" s="3"/>
      <c r="Y328" s="3"/>
      <c r="AA328" s="1411"/>
      <c r="AB328" s="1411"/>
      <c r="AC328" s="1411"/>
      <c r="AD328" s="1411"/>
      <c r="AE328" s="1411"/>
      <c r="AF328" s="1411"/>
      <c r="AG328" s="1411"/>
      <c r="AH328" s="1411"/>
      <c r="AI328" s="1411"/>
      <c r="AJ328" s="1411"/>
      <c r="AK328" s="1411"/>
    </row>
    <row r="329" spans="2:66" ht="13.05" customHeight="1">
      <c r="B329" s="3" t="s">
        <v>480</v>
      </c>
      <c r="C329" s="3"/>
      <c r="D329" s="3"/>
      <c r="E329" s="3"/>
      <c r="F329" s="3"/>
      <c r="H329" s="1411" t="s">
        <v>2671</v>
      </c>
      <c r="I329" s="1411"/>
      <c r="J329" s="1411"/>
      <c r="K329" s="1411"/>
      <c r="L329" s="1411"/>
      <c r="M329" s="1411"/>
      <c r="N329" s="1411"/>
      <c r="O329" s="1411"/>
      <c r="P329" s="1411"/>
      <c r="Q329" s="1411"/>
      <c r="R329" s="1411"/>
      <c r="T329" s="3" t="s">
        <v>75</v>
      </c>
      <c r="V329" s="3"/>
      <c r="W329" s="3"/>
      <c r="X329" s="3"/>
      <c r="Y329" s="3"/>
      <c r="AA329" s="1411"/>
      <c r="AB329" s="1411"/>
      <c r="AC329" s="1411"/>
      <c r="AD329" s="1411"/>
      <c r="AE329" s="1411"/>
      <c r="AF329" s="1411"/>
      <c r="AG329" s="1411"/>
      <c r="AH329" s="1411"/>
      <c r="AI329" s="1411"/>
      <c r="AJ329" s="1411"/>
      <c r="AK329" s="1411"/>
    </row>
    <row r="330" spans="2:66" ht="13.05" customHeight="1">
      <c r="B330" s="3" t="s">
        <v>87</v>
      </c>
      <c r="C330" s="3"/>
      <c r="D330" s="3"/>
      <c r="E330" s="3"/>
      <c r="F330" s="3"/>
      <c r="H330" s="1411" t="s">
        <v>2681</v>
      </c>
      <c r="I330" s="1411"/>
      <c r="J330" s="1411"/>
      <c r="K330" s="1411"/>
      <c r="L330" s="1411"/>
      <c r="M330" s="1411"/>
      <c r="N330" s="1411"/>
      <c r="O330" s="1411"/>
      <c r="P330" s="1411"/>
      <c r="Q330" s="1411"/>
      <c r="R330" s="1411"/>
      <c r="T330" s="3" t="s">
        <v>87</v>
      </c>
      <c r="V330" s="3"/>
      <c r="W330" s="3"/>
      <c r="X330" s="3"/>
      <c r="Y330" s="3"/>
      <c r="AA330" s="1411"/>
      <c r="AB330" s="1411"/>
      <c r="AC330" s="1411"/>
      <c r="AD330" s="1411"/>
      <c r="AE330" s="1411"/>
      <c r="AF330" s="1411"/>
      <c r="AG330" s="1411"/>
      <c r="AH330" s="1411"/>
      <c r="AI330" s="1411"/>
      <c r="AJ330" s="1411"/>
      <c r="AK330" s="1411"/>
    </row>
    <row r="331" spans="2:66" ht="13.05" customHeight="1">
      <c r="B331" s="3" t="s">
        <v>88</v>
      </c>
      <c r="C331" s="3"/>
      <c r="D331" s="3"/>
      <c r="E331" s="3"/>
      <c r="F331" s="3"/>
      <c r="G331" s="3"/>
      <c r="H331" s="1703">
        <f>AA323</f>
        <v>9133124612</v>
      </c>
      <c r="I331" s="1703"/>
      <c r="J331" s="1703"/>
      <c r="K331" s="1703"/>
      <c r="L331" s="1703"/>
      <c r="M331" s="1703"/>
      <c r="N331" s="4" t="s">
        <v>207</v>
      </c>
      <c r="O331" s="4"/>
      <c r="P331" s="1433"/>
      <c r="Q331" s="1433"/>
      <c r="R331" s="1433"/>
      <c r="S331" s="3"/>
      <c r="T331" s="3" t="s">
        <v>88</v>
      </c>
      <c r="V331" s="3"/>
      <c r="W331" s="3"/>
      <c r="X331" s="3"/>
      <c r="Y331" s="3"/>
      <c r="AA331" s="1703"/>
      <c r="AB331" s="1703"/>
      <c r="AC331" s="1703"/>
      <c r="AD331" s="1703"/>
      <c r="AE331" s="1703"/>
      <c r="AF331" s="1703"/>
      <c r="AG331" s="4" t="s">
        <v>207</v>
      </c>
      <c r="AH331" s="4"/>
      <c r="AI331" s="1433"/>
      <c r="AJ331" s="1433"/>
      <c r="AK331" s="1433"/>
    </row>
    <row r="332" spans="2:66" ht="13.05" customHeight="1">
      <c r="B332" s="3" t="s">
        <v>89</v>
      </c>
      <c r="C332" s="3"/>
      <c r="D332" s="3"/>
      <c r="E332" s="3"/>
      <c r="F332" s="3"/>
      <c r="G332" s="3"/>
      <c r="H332" s="1477"/>
      <c r="I332" s="1477"/>
      <c r="J332" s="1477"/>
      <c r="K332" s="1477"/>
      <c r="L332" s="1477"/>
      <c r="M332" s="1477"/>
      <c r="N332" s="4"/>
      <c r="O332" s="4"/>
      <c r="P332" s="35"/>
      <c r="Q332" s="35"/>
      <c r="R332" s="35"/>
      <c r="S332" s="3"/>
      <c r="T332" s="3" t="s">
        <v>89</v>
      </c>
      <c r="V332" s="3"/>
      <c r="W332" s="3"/>
      <c r="X332" s="3"/>
      <c r="Y332" s="3"/>
      <c r="AA332" s="1477"/>
      <c r="AB332" s="1477"/>
      <c r="AC332" s="1477"/>
      <c r="AD332" s="1477"/>
      <c r="AE332" s="1477"/>
      <c r="AF332" s="1477"/>
      <c r="AG332" s="4"/>
      <c r="AH332" s="4"/>
      <c r="AI332" s="35"/>
      <c r="AJ332" s="35"/>
      <c r="AK332" s="35"/>
    </row>
    <row r="333" spans="2:66" ht="13.05" customHeight="1">
      <c r="B333" s="3" t="s">
        <v>76</v>
      </c>
      <c r="C333" s="3"/>
      <c r="D333" s="3"/>
      <c r="E333" s="3"/>
      <c r="F333" s="3"/>
      <c r="G333" s="3"/>
      <c r="H333" s="1411" t="str">
        <f>AA325</f>
        <v>Rachel.denton@novoco.com</v>
      </c>
      <c r="I333" s="1411"/>
      <c r="J333" s="1411"/>
      <c r="K333" s="1411"/>
      <c r="L333" s="1411"/>
      <c r="M333" s="1411"/>
      <c r="N333" s="1416"/>
      <c r="O333" s="1416"/>
      <c r="P333" s="1416"/>
      <c r="Q333" s="1416"/>
      <c r="R333" s="1416"/>
      <c r="S333" s="3"/>
      <c r="T333" s="3" t="s">
        <v>76</v>
      </c>
      <c r="V333" s="3"/>
      <c r="W333" s="3"/>
      <c r="X333" s="3"/>
      <c r="Y333" s="3"/>
      <c r="AA333" s="1411"/>
      <c r="AB333" s="1411"/>
      <c r="AC333" s="1411"/>
      <c r="AD333" s="1411"/>
      <c r="AE333" s="1411"/>
      <c r="AF333" s="1411"/>
      <c r="AG333" s="1416"/>
      <c r="AH333" s="1416"/>
      <c r="AI333" s="1416"/>
      <c r="AJ333" s="1416"/>
      <c r="AK333" s="1416"/>
    </row>
    <row r="334" spans="2:66" ht="13.05" customHeight="1">
      <c r="B334" s="3"/>
      <c r="C334" s="3"/>
      <c r="D334" s="3"/>
      <c r="E334" s="3"/>
      <c r="F334" s="3"/>
      <c r="G334" s="3"/>
      <c r="P334" s="163"/>
      <c r="Q334" s="163"/>
      <c r="R334" s="163"/>
      <c r="S334" s="163"/>
      <c r="T334" s="163"/>
      <c r="U334" s="163"/>
      <c r="V334" s="4"/>
      <c r="W334" s="4"/>
      <c r="X334" s="35"/>
      <c r="Y334" s="35"/>
      <c r="Z334" s="35"/>
    </row>
    <row r="335" spans="2:66" ht="13.05" customHeight="1">
      <c r="B335" s="3" t="s">
        <v>330</v>
      </c>
      <c r="C335" s="3"/>
      <c r="D335" s="3"/>
      <c r="E335" s="3"/>
      <c r="F335" s="3"/>
      <c r="H335" s="1416" t="s">
        <v>2675</v>
      </c>
      <c r="I335" s="1416"/>
      <c r="J335" s="1416"/>
      <c r="K335" s="1416"/>
      <c r="L335" s="1416"/>
      <c r="M335" s="1416"/>
      <c r="N335" s="1416"/>
      <c r="O335" s="1416"/>
      <c r="P335" s="1416"/>
      <c r="Q335" s="1416"/>
      <c r="R335" s="1416"/>
      <c r="T335" s="218" t="s">
        <v>898</v>
      </c>
      <c r="V335" s="3"/>
      <c r="W335" s="3"/>
      <c r="X335" s="3"/>
      <c r="Y335" s="3"/>
      <c r="AA335" s="1416" t="s">
        <v>2745</v>
      </c>
      <c r="AB335" s="1416"/>
      <c r="AC335" s="1416"/>
      <c r="AD335" s="1416"/>
      <c r="AE335" s="1416"/>
      <c r="AF335" s="1416"/>
      <c r="AG335" s="1416"/>
      <c r="AH335" s="1416"/>
      <c r="AI335" s="1416"/>
      <c r="AJ335" s="1416"/>
      <c r="AK335" s="1416"/>
    </row>
    <row r="336" spans="2:66" ht="13.05" customHeight="1">
      <c r="B336" s="3" t="s">
        <v>479</v>
      </c>
      <c r="C336" s="3"/>
      <c r="D336" s="3"/>
      <c r="E336" s="3"/>
      <c r="F336" s="3"/>
      <c r="H336" s="1411" t="s">
        <v>2676</v>
      </c>
      <c r="I336" s="1411"/>
      <c r="J336" s="1411"/>
      <c r="K336" s="1411"/>
      <c r="L336" s="1411"/>
      <c r="M336" s="1411"/>
      <c r="N336" s="1411"/>
      <c r="O336" s="1411"/>
      <c r="P336" s="1411"/>
      <c r="Q336" s="1411"/>
      <c r="R336" s="1411"/>
      <c r="T336" s="3" t="s">
        <v>479</v>
      </c>
      <c r="V336" s="3"/>
      <c r="W336" s="3"/>
      <c r="X336" s="3"/>
      <c r="Y336" s="3"/>
      <c r="AA336" s="1411" t="s">
        <v>2746</v>
      </c>
      <c r="AB336" s="1411"/>
      <c r="AC336" s="1411"/>
      <c r="AD336" s="1411"/>
      <c r="AE336" s="1411"/>
      <c r="AF336" s="1411"/>
      <c r="AG336" s="1411"/>
      <c r="AH336" s="1411"/>
      <c r="AI336" s="1411"/>
      <c r="AJ336" s="1411"/>
      <c r="AK336" s="1411"/>
    </row>
    <row r="337" spans="1:66" ht="13.05" customHeight="1">
      <c r="B337" s="3" t="s">
        <v>75</v>
      </c>
      <c r="C337" s="3"/>
      <c r="D337" s="3"/>
      <c r="E337" s="3"/>
      <c r="F337" s="3"/>
      <c r="H337" s="1411" t="s">
        <v>2677</v>
      </c>
      <c r="I337" s="1411"/>
      <c r="J337" s="1411"/>
      <c r="K337" s="1411"/>
      <c r="L337" s="1411"/>
      <c r="M337" s="1411"/>
      <c r="N337" s="1411"/>
      <c r="O337" s="1411"/>
      <c r="P337" s="1411"/>
      <c r="Q337" s="1411"/>
      <c r="R337" s="1411"/>
      <c r="T337" s="3" t="s">
        <v>75</v>
      </c>
      <c r="V337" s="3"/>
      <c r="W337" s="3"/>
      <c r="X337" s="3"/>
      <c r="Y337" s="3"/>
      <c r="AA337" s="1411" t="s">
        <v>2747</v>
      </c>
      <c r="AB337" s="1411"/>
      <c r="AC337" s="1411"/>
      <c r="AD337" s="1411"/>
      <c r="AE337" s="1411"/>
      <c r="AF337" s="1411"/>
      <c r="AG337" s="1411"/>
      <c r="AH337" s="1411"/>
      <c r="AI337" s="1411"/>
      <c r="AJ337" s="1411"/>
      <c r="AK337" s="1411"/>
    </row>
    <row r="338" spans="1:66" ht="13.05" customHeight="1">
      <c r="B338" s="3" t="s">
        <v>87</v>
      </c>
      <c r="C338" s="3"/>
      <c r="D338" s="3"/>
      <c r="E338" s="3"/>
      <c r="F338" s="3"/>
      <c r="G338" s="3"/>
      <c r="H338" s="1411" t="s">
        <v>2678</v>
      </c>
      <c r="I338" s="1411"/>
      <c r="J338" s="1411"/>
      <c r="K338" s="1411"/>
      <c r="L338" s="1411"/>
      <c r="M338" s="1411"/>
      <c r="N338" s="1411"/>
      <c r="O338" s="1411"/>
      <c r="P338" s="1411"/>
      <c r="Q338" s="1411"/>
      <c r="R338" s="1411"/>
      <c r="T338" s="3" t="s">
        <v>87</v>
      </c>
      <c r="V338" s="3"/>
      <c r="W338" s="3"/>
      <c r="X338" s="3"/>
      <c r="Y338" s="3"/>
      <c r="AA338" s="1411" t="s">
        <v>2748</v>
      </c>
      <c r="AB338" s="1411"/>
      <c r="AC338" s="1411"/>
      <c r="AD338" s="1411"/>
      <c r="AE338" s="1411"/>
      <c r="AF338" s="1411"/>
      <c r="AG338" s="1411"/>
      <c r="AH338" s="1411"/>
      <c r="AI338" s="1411"/>
      <c r="AJ338" s="1411"/>
      <c r="AK338" s="1411"/>
    </row>
    <row r="339" spans="1:66" ht="13.05" customHeight="1">
      <c r="B339" s="3" t="s">
        <v>88</v>
      </c>
      <c r="C339" s="3"/>
      <c r="D339" s="3"/>
      <c r="E339" s="3"/>
      <c r="F339" s="3"/>
      <c r="G339" s="3"/>
      <c r="H339" s="1703" t="s">
        <v>2679</v>
      </c>
      <c r="I339" s="1703"/>
      <c r="J339" s="1703"/>
      <c r="K339" s="1703"/>
      <c r="L339" s="1703"/>
      <c r="M339" s="1703"/>
      <c r="N339" s="4" t="s">
        <v>207</v>
      </c>
      <c r="O339" s="4"/>
      <c r="P339" s="1433"/>
      <c r="Q339" s="1433"/>
      <c r="R339" s="1433"/>
      <c r="S339" s="3"/>
      <c r="T339" s="3" t="s">
        <v>88</v>
      </c>
      <c r="V339" s="3"/>
      <c r="W339" s="3"/>
      <c r="X339" s="3"/>
      <c r="Y339" s="3"/>
      <c r="AA339" s="1703" t="s">
        <v>2749</v>
      </c>
      <c r="AB339" s="1703"/>
      <c r="AC339" s="1703"/>
      <c r="AD339" s="1703"/>
      <c r="AE339" s="1703"/>
      <c r="AF339" s="1703"/>
      <c r="AG339" s="4" t="s">
        <v>207</v>
      </c>
      <c r="AH339" s="4"/>
      <c r="AI339" s="1433"/>
      <c r="AJ339" s="1433"/>
      <c r="AK339" s="1433"/>
    </row>
    <row r="340" spans="1:66" ht="13.05" customHeight="1">
      <c r="B340" s="3" t="s">
        <v>89</v>
      </c>
      <c r="C340" s="3"/>
      <c r="D340" s="3"/>
      <c r="E340" s="3"/>
      <c r="F340" s="3"/>
      <c r="G340" s="3"/>
      <c r="H340" s="1477"/>
      <c r="I340" s="1477"/>
      <c r="J340" s="1477"/>
      <c r="K340" s="1477"/>
      <c r="L340" s="1477"/>
      <c r="M340" s="1477"/>
      <c r="N340" s="4"/>
      <c r="O340" s="4"/>
      <c r="P340" s="35"/>
      <c r="Q340" s="35"/>
      <c r="R340" s="35"/>
      <c r="S340" s="3"/>
      <c r="T340" s="3" t="s">
        <v>89</v>
      </c>
      <c r="V340" s="3"/>
      <c r="W340" s="3"/>
      <c r="X340" s="3"/>
      <c r="Y340" s="3"/>
      <c r="AA340" s="1477"/>
      <c r="AB340" s="1477"/>
      <c r="AC340" s="1477"/>
      <c r="AD340" s="1477"/>
      <c r="AE340" s="1477"/>
      <c r="AF340" s="1477"/>
      <c r="AG340" s="4"/>
      <c r="AH340" s="4"/>
      <c r="AI340" s="35"/>
      <c r="AJ340" s="35"/>
      <c r="AK340" s="35"/>
    </row>
    <row r="341" spans="1:66" ht="13.05" customHeight="1">
      <c r="B341" s="3" t="s">
        <v>76</v>
      </c>
      <c r="C341" s="3"/>
      <c r="D341" s="3"/>
      <c r="E341" s="3"/>
      <c r="F341" s="3"/>
      <c r="G341" s="3"/>
      <c r="H341" s="1411" t="s">
        <v>2680</v>
      </c>
      <c r="I341" s="1411"/>
      <c r="J341" s="1411"/>
      <c r="K341" s="1411"/>
      <c r="L341" s="1411"/>
      <c r="M341" s="1411"/>
      <c r="N341" s="1416"/>
      <c r="O341" s="1416"/>
      <c r="P341" s="1416"/>
      <c r="Q341" s="1416"/>
      <c r="R341" s="1416"/>
      <c r="S341" s="3"/>
      <c r="T341" s="3" t="s">
        <v>76</v>
      </c>
      <c r="V341" s="3"/>
      <c r="W341" s="3"/>
      <c r="X341" s="3"/>
      <c r="Y341" s="3"/>
      <c r="AA341" s="1411" t="s">
        <v>2750</v>
      </c>
      <c r="AB341" s="1411"/>
      <c r="AC341" s="1411"/>
      <c r="AD341" s="1411"/>
      <c r="AE341" s="1411"/>
      <c r="AF341" s="1411"/>
      <c r="AG341" s="1416"/>
      <c r="AH341" s="1416"/>
      <c r="AI341" s="1416"/>
      <c r="AJ341" s="1416"/>
      <c r="AK341" s="1416"/>
    </row>
    <row r="342" spans="1:66" ht="13.0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05" customHeight="1">
      <c r="B343" s="3"/>
      <c r="C343" s="4"/>
      <c r="D343" s="4"/>
      <c r="E343" s="4"/>
      <c r="F343" s="4"/>
      <c r="I343" s="218" t="s">
        <v>899</v>
      </c>
      <c r="P343" s="1416" t="s">
        <v>599</v>
      </c>
      <c r="Q343" s="1416"/>
      <c r="R343" s="1416"/>
      <c r="S343" s="1416"/>
      <c r="T343" s="1416"/>
      <c r="U343" s="1416"/>
      <c r="V343" s="1416"/>
      <c r="W343" s="1416"/>
      <c r="X343" s="1416"/>
      <c r="Y343" s="1416"/>
      <c r="Z343" s="1416"/>
      <c r="AA343" s="1416"/>
      <c r="AB343" s="1416"/>
      <c r="AC343" s="1416"/>
      <c r="AD343" s="1416"/>
      <c r="AE343" s="1416"/>
      <c r="BN343" t="s">
        <v>676</v>
      </c>
    </row>
    <row r="344" spans="1:66" ht="13.05" customHeight="1">
      <c r="B344" s="4"/>
      <c r="C344" s="4"/>
      <c r="D344" s="4"/>
      <c r="E344" s="4"/>
      <c r="F344" s="4"/>
      <c r="I344" s="4" t="s">
        <v>479</v>
      </c>
      <c r="P344" s="1411"/>
      <c r="Q344" s="1411"/>
      <c r="R344" s="1411"/>
      <c r="S344" s="1411"/>
      <c r="T344" s="1411"/>
      <c r="U344" s="1411"/>
      <c r="V344" s="1411"/>
      <c r="W344" s="1411"/>
      <c r="X344" s="1411"/>
      <c r="Y344" s="1411"/>
      <c r="Z344" s="1411"/>
      <c r="AA344" s="1411"/>
      <c r="AB344" s="1411"/>
      <c r="AC344" s="1411"/>
      <c r="AD344" s="1411"/>
      <c r="AE344" s="1411"/>
      <c r="BN344" t="s">
        <v>553</v>
      </c>
    </row>
    <row r="345" spans="1:66" ht="13.05" customHeight="1">
      <c r="B345" s="4"/>
      <c r="C345" s="4"/>
      <c r="D345" s="4"/>
      <c r="E345" s="4"/>
      <c r="F345" s="4"/>
      <c r="I345" s="4" t="s">
        <v>75</v>
      </c>
      <c r="P345" s="1411"/>
      <c r="Q345" s="1411"/>
      <c r="R345" s="1411"/>
      <c r="S345" s="1411"/>
      <c r="T345" s="1411"/>
      <c r="U345" s="1411"/>
      <c r="V345" s="1411"/>
      <c r="W345" s="1411"/>
      <c r="X345" s="1411"/>
      <c r="Y345" s="1411"/>
      <c r="Z345" s="1411"/>
      <c r="AA345" s="1411"/>
      <c r="AB345" s="1411"/>
      <c r="AC345" s="1411"/>
      <c r="AD345" s="1411"/>
      <c r="AE345" s="1411"/>
    </row>
    <row r="346" spans="1:66" ht="13.05" customHeight="1">
      <c r="B346" s="4"/>
      <c r="C346" s="4"/>
      <c r="D346" s="4"/>
      <c r="E346" s="4"/>
      <c r="F346" s="4"/>
      <c r="G346" s="4"/>
      <c r="I346" s="4" t="s">
        <v>87</v>
      </c>
      <c r="P346" s="1411"/>
      <c r="Q346" s="1411"/>
      <c r="R346" s="1411"/>
      <c r="S346" s="1411"/>
      <c r="T346" s="1411"/>
      <c r="U346" s="1411"/>
      <c r="V346" s="1411"/>
      <c r="W346" s="1411"/>
      <c r="X346" s="1411"/>
      <c r="Y346" s="1411"/>
      <c r="Z346" s="1411"/>
      <c r="AA346" s="1411"/>
      <c r="AB346" s="1411"/>
      <c r="AC346" s="1411"/>
      <c r="AD346" s="1411"/>
      <c r="AE346" s="1411"/>
    </row>
    <row r="347" spans="1:66" ht="13.05" customHeight="1">
      <c r="B347" s="4"/>
      <c r="C347" s="4"/>
      <c r="D347" s="4"/>
      <c r="E347" s="4"/>
      <c r="F347" s="4"/>
      <c r="G347" s="4"/>
      <c r="H347" s="324"/>
      <c r="I347" s="4" t="s">
        <v>88</v>
      </c>
      <c r="P347" s="1477"/>
      <c r="Q347" s="1477"/>
      <c r="R347" s="1477"/>
      <c r="S347" s="1477"/>
      <c r="T347" s="1477"/>
      <c r="U347" s="1477"/>
      <c r="V347" s="1477"/>
      <c r="W347" s="1477"/>
      <c r="X347" s="1477"/>
      <c r="Y347" s="1477"/>
      <c r="Z347" s="1477"/>
      <c r="AA347" s="4" t="s">
        <v>207</v>
      </c>
      <c r="AB347" s="4"/>
      <c r="AC347" s="1441"/>
      <c r="AD347" s="1441"/>
      <c r="AE347" s="1441"/>
      <c r="AF347" s="324"/>
      <c r="AG347" s="4"/>
      <c r="AH347" s="4"/>
      <c r="AI347" s="4"/>
      <c r="AJ347" s="4"/>
      <c r="AK347" s="4"/>
    </row>
    <row r="348" spans="1:66" ht="13.05" customHeight="1">
      <c r="B348" s="4"/>
      <c r="C348" s="4"/>
      <c r="D348" s="4"/>
      <c r="E348" s="4"/>
      <c r="F348" s="4"/>
      <c r="G348" s="4"/>
      <c r="H348" s="324"/>
      <c r="I348" s="4" t="s">
        <v>89</v>
      </c>
      <c r="P348" s="1477"/>
      <c r="Q348" s="1477"/>
      <c r="R348" s="1477"/>
      <c r="S348" s="1477"/>
      <c r="T348" s="1477"/>
      <c r="U348" s="1477"/>
      <c r="V348" s="1477"/>
      <c r="W348" s="1477"/>
      <c r="X348" s="1477"/>
      <c r="Y348" s="1477"/>
      <c r="Z348" s="1477"/>
      <c r="AF348" s="324"/>
      <c r="AG348" s="4"/>
      <c r="AH348" s="4"/>
      <c r="AI348" s="35"/>
      <c r="AJ348" s="35"/>
      <c r="AK348" s="35"/>
    </row>
    <row r="349" spans="1:66" ht="13.05" customHeight="1">
      <c r="B349" s="4"/>
      <c r="C349" s="4"/>
      <c r="D349" s="4"/>
      <c r="E349" s="4"/>
      <c r="F349" s="4"/>
      <c r="G349" s="4"/>
      <c r="I349" s="4" t="s">
        <v>76</v>
      </c>
      <c r="P349" s="1416"/>
      <c r="Q349" s="1416"/>
      <c r="R349" s="1416"/>
      <c r="S349" s="1416"/>
      <c r="T349" s="1416"/>
      <c r="U349" s="1416"/>
      <c r="V349" s="1416"/>
      <c r="W349" s="1416"/>
      <c r="X349" s="1416"/>
      <c r="Y349" s="1416"/>
      <c r="Z349" s="1416"/>
      <c r="AA349" s="1416"/>
      <c r="AB349" s="1416"/>
      <c r="AC349" s="1416"/>
      <c r="AD349" s="1416"/>
      <c r="AE349" s="1416"/>
    </row>
    <row r="350" spans="1:66" ht="13.05" customHeight="1">
      <c r="T350" s="8"/>
      <c r="U350" s="8"/>
      <c r="V350" s="8"/>
      <c r="W350" s="8"/>
      <c r="X350" s="8"/>
      <c r="Y350" s="8"/>
      <c r="Z350" s="8"/>
      <c r="AU350" s="95"/>
      <c r="AV350" s="95"/>
      <c r="AW350" s="95"/>
      <c r="AX350" s="95"/>
      <c r="AY350" s="95"/>
    </row>
    <row r="351" spans="1:66" ht="13.05" customHeight="1">
      <c r="A351" s="1434" t="s">
        <v>550</v>
      </c>
      <c r="B351" s="1434"/>
      <c r="C351" s="1434"/>
      <c r="D351" s="1434"/>
      <c r="E351" s="1434"/>
      <c r="F351" s="1434"/>
      <c r="G351" s="1434"/>
      <c r="H351" s="1434"/>
      <c r="I351" s="1434"/>
      <c r="J351" s="1434"/>
      <c r="K351" s="1434"/>
      <c r="L351" s="1434"/>
      <c r="M351" s="1434"/>
      <c r="N351" s="1434"/>
      <c r="O351" s="1434"/>
      <c r="P351" s="1434"/>
      <c r="Q351" s="1434"/>
      <c r="R351" s="1434"/>
      <c r="S351" s="1434"/>
      <c r="T351" s="1434"/>
      <c r="U351" s="1434"/>
      <c r="V351" s="1434"/>
      <c r="W351" s="1434"/>
      <c r="X351" s="1434"/>
      <c r="Y351" s="1434"/>
      <c r="Z351" s="1434"/>
      <c r="AA351" s="1434"/>
      <c r="AB351" s="1434"/>
      <c r="AC351" s="1434"/>
      <c r="AD351" s="1434"/>
      <c r="AE351" s="1434"/>
      <c r="AF351" s="1434"/>
      <c r="AG351" s="1434"/>
      <c r="AH351" s="1434"/>
      <c r="AI351" s="1434"/>
      <c r="AJ351" s="1434"/>
      <c r="AK351" s="1434"/>
      <c r="AL351" s="1434"/>
      <c r="AM351" s="1434"/>
      <c r="AN351" s="1434"/>
      <c r="AO351" s="1434"/>
      <c r="AP351" s="1434"/>
      <c r="AQ351" s="1434"/>
      <c r="AR351" s="1434"/>
      <c r="AS351" s="1434"/>
      <c r="AT351" s="1434"/>
      <c r="AU351" s="95"/>
      <c r="AV351" s="95"/>
      <c r="AW351" s="95"/>
      <c r="AX351" s="95"/>
      <c r="AY351" s="95"/>
    </row>
    <row r="352" spans="1:66" ht="13.05" customHeight="1">
      <c r="A352" s="1434"/>
      <c r="B352" s="1434"/>
      <c r="C352" s="1434"/>
      <c r="D352" s="1434"/>
      <c r="E352" s="1434"/>
      <c r="F352" s="1434"/>
      <c r="G352" s="1434"/>
      <c r="H352" s="1434"/>
      <c r="I352" s="1434"/>
      <c r="J352" s="1434"/>
      <c r="K352" s="1434"/>
      <c r="L352" s="1434"/>
      <c r="M352" s="1434"/>
      <c r="N352" s="1434"/>
      <c r="O352" s="1434"/>
      <c r="P352" s="1434"/>
      <c r="Q352" s="1434"/>
      <c r="R352" s="1434"/>
      <c r="S352" s="1434"/>
      <c r="T352" s="1434"/>
      <c r="U352" s="1434"/>
      <c r="V352" s="1434"/>
      <c r="W352" s="1434"/>
      <c r="X352" s="1434"/>
      <c r="Y352" s="1434"/>
      <c r="Z352" s="1434"/>
      <c r="AA352" s="1434"/>
      <c r="AB352" s="1434"/>
      <c r="AC352" s="1434"/>
      <c r="AD352" s="1434"/>
      <c r="AE352" s="1434"/>
      <c r="AF352" s="1434"/>
      <c r="AG352" s="1434"/>
      <c r="AH352" s="1434"/>
      <c r="AI352" s="1434"/>
      <c r="AJ352" s="1434"/>
      <c r="AK352" s="1434"/>
      <c r="AL352" s="1434"/>
      <c r="AM352" s="1434"/>
      <c r="AN352" s="1434"/>
      <c r="AO352" s="1434"/>
      <c r="AP352" s="1434"/>
      <c r="AQ352" s="1434"/>
      <c r="AR352" s="1434"/>
      <c r="AS352" s="1434"/>
      <c r="AT352" s="1434"/>
      <c r="AU352" s="25"/>
      <c r="AV352" s="25"/>
      <c r="AW352" s="25"/>
      <c r="AX352" s="25"/>
      <c r="AY352" s="25"/>
    </row>
    <row r="353" spans="1:46" ht="13.0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05" customHeight="1">
      <c r="A354" s="2" t="s">
        <v>320</v>
      </c>
      <c r="B354" s="2"/>
      <c r="C354" s="2" t="s">
        <v>790</v>
      </c>
    </row>
    <row r="355" spans="1:46" ht="13.05" customHeight="1">
      <c r="D355" s="3" t="s">
        <v>2411</v>
      </c>
      <c r="M355" s="1415" t="s">
        <v>553</v>
      </c>
      <c r="N355" s="1415"/>
      <c r="P355" t="s">
        <v>1760</v>
      </c>
      <c r="AJ355" s="1415" t="s">
        <v>553</v>
      </c>
      <c r="AK355" s="1415"/>
    </row>
    <row r="356" spans="1:46" ht="13.05" customHeight="1">
      <c r="D356" s="3" t="s">
        <v>1749</v>
      </c>
      <c r="M356" s="1415" t="s">
        <v>599</v>
      </c>
      <c r="N356" s="1415"/>
      <c r="P356" s="3" t="s">
        <v>1906</v>
      </c>
      <c r="AJ356" s="1419">
        <v>0</v>
      </c>
      <c r="AK356" s="1419"/>
    </row>
    <row r="357" spans="1:46" ht="13.05" customHeight="1">
      <c r="D357" s="3" t="s">
        <v>712</v>
      </c>
      <c r="M357" s="1415" t="s">
        <v>599</v>
      </c>
      <c r="N357" s="1415"/>
      <c r="P357" t="s">
        <v>1759</v>
      </c>
      <c r="AJ357" s="1415" t="s">
        <v>553</v>
      </c>
      <c r="AK357" s="1415"/>
    </row>
    <row r="358" spans="1:46" ht="13.05" customHeight="1">
      <c r="D358" s="3" t="s">
        <v>713</v>
      </c>
      <c r="M358" s="1415" t="s">
        <v>599</v>
      </c>
      <c r="N358" s="1415"/>
      <c r="Q358" s="4"/>
    </row>
    <row r="359" spans="1:46" ht="13.05" customHeight="1">
      <c r="Q359" s="4"/>
    </row>
    <row r="360" spans="1:46" ht="13.05" customHeight="1">
      <c r="Q360" s="4"/>
    </row>
    <row r="361" spans="1:46" ht="13.05" customHeight="1">
      <c r="A361" s="2" t="s">
        <v>584</v>
      </c>
      <c r="B361" s="2"/>
      <c r="C361" s="2" t="s">
        <v>560</v>
      </c>
      <c r="D361" s="2"/>
    </row>
    <row r="362" spans="1:46" ht="13.0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05" customHeight="1">
      <c r="D363" s="39" t="s">
        <v>186</v>
      </c>
      <c r="E363" s="40"/>
      <c r="F363" s="40"/>
      <c r="G363" s="40"/>
      <c r="H363" s="40"/>
      <c r="I363" s="40"/>
      <c r="J363" s="40"/>
      <c r="K363" s="40"/>
      <c r="L363" s="40"/>
      <c r="M363" s="40"/>
      <c r="N363" s="1415" t="s">
        <v>599</v>
      </c>
      <c r="O363" s="1415"/>
      <c r="P363" s="40"/>
      <c r="Q363" s="40"/>
      <c r="R363" s="40"/>
      <c r="S363" s="40"/>
      <c r="T363" s="40"/>
      <c r="U363" s="40"/>
      <c r="V363" s="40"/>
      <c r="W363" s="40"/>
      <c r="X363" s="40"/>
      <c r="Y363" s="40"/>
      <c r="Z363" s="40"/>
      <c r="AC363" s="40"/>
      <c r="AD363" s="40"/>
      <c r="AE363" s="40"/>
    </row>
    <row r="364" spans="1:46" ht="13.05" customHeight="1">
      <c r="E364" t="s">
        <v>371</v>
      </c>
      <c r="Y364" s="1415" t="s">
        <v>599</v>
      </c>
      <c r="Z364" s="1415"/>
    </row>
    <row r="365" spans="1:46" ht="13.05" customHeight="1">
      <c r="D365" s="4" t="s">
        <v>996</v>
      </c>
      <c r="Q365" s="1416"/>
      <c r="R365" s="1416"/>
      <c r="S365" s="1416"/>
      <c r="T365" s="1416"/>
      <c r="U365" s="1416"/>
      <c r="V365" s="1416"/>
      <c r="W365" s="1416"/>
      <c r="X365" s="1416"/>
      <c r="Y365" s="1416"/>
      <c r="Z365" s="1416"/>
      <c r="AA365" s="1416"/>
      <c r="AB365" s="1416"/>
      <c r="AC365" s="1416"/>
      <c r="AD365" s="1416"/>
      <c r="AE365" s="1416"/>
      <c r="AF365" s="1416"/>
      <c r="AG365" s="1416"/>
    </row>
    <row r="366" spans="1:46" ht="13.0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05" customHeight="1">
      <c r="D367" t="s">
        <v>189</v>
      </c>
      <c r="E367" s="40"/>
      <c r="F367" s="40"/>
      <c r="G367" s="40"/>
      <c r="H367" s="40"/>
      <c r="I367" s="40"/>
      <c r="J367" s="1415" t="s">
        <v>599</v>
      </c>
      <c r="K367" s="1415"/>
      <c r="L367" s="40"/>
      <c r="M367" s="40"/>
      <c r="N367" s="40"/>
      <c r="O367" s="40"/>
      <c r="P367" s="40"/>
      <c r="Q367" s="40"/>
      <c r="R367" s="40"/>
      <c r="S367" s="40"/>
      <c r="T367" s="40"/>
      <c r="U367" s="40"/>
      <c r="V367" s="40"/>
      <c r="W367" s="40"/>
      <c r="X367" s="40"/>
      <c r="Y367" s="40"/>
      <c r="Z367" s="40"/>
      <c r="AC367" s="40"/>
      <c r="AD367" s="40"/>
      <c r="AE367" s="40"/>
    </row>
    <row r="368" spans="1:46" ht="13.05" customHeight="1">
      <c r="E368" s="1431" t="s">
        <v>714</v>
      </c>
      <c r="F368" s="1431"/>
      <c r="G368" s="1431"/>
      <c r="H368" s="1431"/>
      <c r="I368" s="1431"/>
      <c r="J368" s="1431"/>
      <c r="K368" s="1431"/>
      <c r="L368" s="1431"/>
      <c r="M368" s="1431"/>
      <c r="N368" s="1431"/>
      <c r="O368" s="1431"/>
      <c r="P368" s="1431"/>
      <c r="Q368" s="1431"/>
      <c r="R368" s="1431"/>
      <c r="S368" s="1431"/>
      <c r="T368" s="1431"/>
      <c r="U368" s="1431"/>
      <c r="V368" s="1431"/>
      <c r="W368" s="1431"/>
      <c r="X368" s="1431"/>
      <c r="Y368" s="1431"/>
      <c r="Z368" s="1431"/>
      <c r="AA368" s="1431"/>
      <c r="AB368" s="1431"/>
      <c r="AC368" s="1431"/>
      <c r="AD368" s="1431"/>
      <c r="AE368" s="1431"/>
      <c r="AF368" s="1431"/>
      <c r="AG368" s="1431"/>
      <c r="AH368" s="1431"/>
    </row>
    <row r="369" spans="1:34" ht="13.05" customHeight="1">
      <c r="E369" s="1431"/>
      <c r="F369" s="1431"/>
      <c r="G369" s="1431"/>
      <c r="H369" s="1431"/>
      <c r="I369" s="1431"/>
      <c r="J369" s="1431"/>
      <c r="K369" s="1431"/>
      <c r="L369" s="1431"/>
      <c r="M369" s="1431"/>
      <c r="N369" s="1431"/>
      <c r="O369" s="1431"/>
      <c r="P369" s="1431"/>
      <c r="Q369" s="1431"/>
      <c r="R369" s="1431"/>
      <c r="S369" s="1431"/>
      <c r="T369" s="1431"/>
      <c r="U369" s="1431"/>
      <c r="V369" s="1431"/>
      <c r="W369" s="1431"/>
      <c r="X369" s="1431"/>
      <c r="Y369" s="1431"/>
      <c r="Z369" s="1431"/>
      <c r="AA369" s="1431"/>
      <c r="AB369" s="1431"/>
      <c r="AC369" s="1431"/>
      <c r="AD369" s="1431"/>
      <c r="AE369" s="1431"/>
      <c r="AF369" s="1431"/>
      <c r="AG369" s="1431"/>
      <c r="AH369" s="1431"/>
    </row>
    <row r="370" spans="1:34" ht="13.05" customHeight="1">
      <c r="E370" s="4" t="s">
        <v>456</v>
      </c>
      <c r="F370" s="4"/>
      <c r="G370" s="4"/>
      <c r="H370" s="4"/>
      <c r="I370" s="4"/>
      <c r="J370" s="4"/>
      <c r="K370" s="4"/>
      <c r="L370" s="4"/>
      <c r="N370" s="1642"/>
      <c r="O370" s="1642"/>
      <c r="P370" s="1642"/>
      <c r="Q370" s="1642"/>
      <c r="R370" s="4"/>
      <c r="U370" s="4" t="s">
        <v>457</v>
      </c>
      <c r="V370" s="4"/>
      <c r="W370" s="4"/>
      <c r="X370" s="4"/>
      <c r="Y370" s="4"/>
      <c r="Z370" s="4"/>
      <c r="AA370" s="4"/>
      <c r="AB370" s="4"/>
      <c r="AC370" s="1642"/>
      <c r="AD370" s="1642"/>
      <c r="AE370" s="1642"/>
      <c r="AF370" s="1642"/>
    </row>
    <row r="371" spans="1:34" ht="13.05" customHeight="1">
      <c r="E371" s="4" t="s">
        <v>458</v>
      </c>
      <c r="F371" s="4"/>
      <c r="G371" s="4"/>
      <c r="H371" s="4"/>
      <c r="I371" s="4"/>
      <c r="J371" s="4"/>
      <c r="K371" s="4"/>
      <c r="L371" s="4"/>
      <c r="N371" s="1642"/>
      <c r="O371" s="1642"/>
      <c r="P371" s="1642"/>
      <c r="Q371" s="1642"/>
      <c r="R371" s="4"/>
      <c r="U371" s="4" t="s">
        <v>0</v>
      </c>
      <c r="V371" s="4"/>
      <c r="W371" s="4"/>
      <c r="X371" s="4"/>
      <c r="Y371" s="4"/>
      <c r="Z371" s="4"/>
      <c r="AA371" s="4"/>
      <c r="AB371" s="4"/>
      <c r="AC371" s="1642"/>
      <c r="AD371" s="1642"/>
      <c r="AE371" s="1642"/>
      <c r="AF371" s="1642"/>
    </row>
    <row r="372" spans="1:34" ht="13.05" customHeight="1">
      <c r="E372" s="4" t="s">
        <v>1</v>
      </c>
      <c r="F372" s="4"/>
      <c r="G372" s="4"/>
      <c r="H372" s="4"/>
      <c r="I372" s="4"/>
      <c r="J372" s="4"/>
      <c r="K372" s="4"/>
      <c r="L372" s="4"/>
      <c r="N372" s="1642"/>
      <c r="O372" s="1642"/>
      <c r="P372" s="1642"/>
      <c r="Q372" s="1642"/>
      <c r="R372" s="4"/>
      <c r="V372" s="4"/>
      <c r="W372" s="4"/>
      <c r="X372" s="4"/>
      <c r="Y372" s="4"/>
      <c r="Z372" s="4"/>
      <c r="AA372" s="4"/>
      <c r="AB372" s="4"/>
    </row>
    <row r="373" spans="1:34" ht="13.05" customHeight="1">
      <c r="E373" s="4" t="s">
        <v>2</v>
      </c>
      <c r="F373" s="4"/>
      <c r="G373" s="4"/>
      <c r="H373" s="4"/>
      <c r="I373" s="4"/>
      <c r="J373" s="4"/>
      <c r="K373" s="4"/>
      <c r="L373" s="4"/>
      <c r="N373" s="1874"/>
      <c r="O373" s="1874"/>
      <c r="P373" s="1874"/>
      <c r="Q373" s="1874"/>
      <c r="R373" s="1874"/>
      <c r="S373" s="1874"/>
      <c r="T373" s="1874"/>
      <c r="U373" s="1874"/>
      <c r="V373" s="1874"/>
      <c r="W373" s="1874"/>
      <c r="X373" s="1874"/>
      <c r="Y373" s="1874"/>
      <c r="Z373" s="1874"/>
      <c r="AA373" s="1874"/>
      <c r="AB373" s="1874"/>
      <c r="AC373" s="1874"/>
      <c r="AD373" s="1874"/>
      <c r="AE373" s="1874"/>
      <c r="AF373" s="1874"/>
    </row>
    <row r="374" spans="1:34" ht="13.05" customHeight="1">
      <c r="E374" s="4"/>
      <c r="F374" s="4"/>
      <c r="G374" s="4"/>
      <c r="H374" s="4"/>
      <c r="I374" s="4"/>
      <c r="J374" s="4"/>
      <c r="K374" s="4"/>
      <c r="L374" s="4"/>
      <c r="N374" s="1875"/>
      <c r="O374" s="1875"/>
      <c r="P374" s="1875"/>
      <c r="Q374" s="1875"/>
      <c r="R374" s="1875"/>
      <c r="S374" s="1875"/>
      <c r="T374" s="1875"/>
      <c r="U374" s="1875"/>
      <c r="V374" s="1875"/>
      <c r="W374" s="1875"/>
      <c r="X374" s="1875"/>
      <c r="Y374" s="1875"/>
      <c r="Z374" s="1875"/>
      <c r="AA374" s="1875"/>
      <c r="AB374" s="1875"/>
      <c r="AC374" s="1875"/>
      <c r="AD374" s="1875"/>
      <c r="AE374" s="1875"/>
      <c r="AF374" s="1875"/>
    </row>
    <row r="375" spans="1:34" ht="13.05" customHeight="1">
      <c r="C375" s="546"/>
      <c r="E375" s="4"/>
      <c r="F375" s="4"/>
      <c r="G375" s="4"/>
      <c r="H375" s="4"/>
      <c r="I375" s="4"/>
      <c r="J375" s="4"/>
      <c r="K375" s="4"/>
      <c r="L375" s="4"/>
    </row>
    <row r="376" spans="1:34" ht="13.05" customHeight="1">
      <c r="D376" s="2" t="s">
        <v>993</v>
      </c>
      <c r="E376" s="2"/>
      <c r="F376" s="4"/>
      <c r="G376" s="4"/>
      <c r="H376" s="4"/>
      <c r="I376" s="4"/>
      <c r="J376" s="4"/>
      <c r="K376" s="4"/>
      <c r="L376" s="4"/>
    </row>
    <row r="377" spans="1:34" ht="13.05" customHeight="1">
      <c r="E377" s="4" t="s">
        <v>2395</v>
      </c>
      <c r="F377" s="4"/>
      <c r="G377" s="4"/>
      <c r="H377" s="4"/>
      <c r="I377" s="4"/>
      <c r="J377" s="4"/>
      <c r="K377" s="4"/>
      <c r="L377" s="4"/>
      <c r="N377" t="s">
        <v>2390</v>
      </c>
      <c r="R377" s="27" t="s">
        <v>306</v>
      </c>
      <c r="S377" s="1693"/>
      <c r="T377" s="1693"/>
      <c r="U377" s="1" t="s">
        <v>307</v>
      </c>
      <c r="V377" s="1693"/>
      <c r="W377" s="1693"/>
      <c r="Y377" t="s">
        <v>2390</v>
      </c>
      <c r="AC377" s="27" t="s">
        <v>306</v>
      </c>
      <c r="AD377" s="1693"/>
      <c r="AE377" s="1693"/>
      <c r="AF377" s="1" t="s">
        <v>307</v>
      </c>
      <c r="AG377" s="1693"/>
      <c r="AH377" s="1693"/>
    </row>
    <row r="378" spans="1:34" ht="13.05" customHeight="1">
      <c r="E378" s="4" t="s">
        <v>1010</v>
      </c>
      <c r="F378" s="4"/>
      <c r="G378" s="4"/>
      <c r="H378" s="4"/>
      <c r="I378" s="4"/>
      <c r="J378" s="4"/>
      <c r="K378" s="4"/>
      <c r="L378" s="4"/>
      <c r="N378" s="1693"/>
      <c r="O378" s="1693"/>
      <c r="P378" s="1693"/>
    </row>
    <row r="379" spans="1:34" ht="13.05" customHeight="1">
      <c r="E379" s="218" t="s">
        <v>2396</v>
      </c>
      <c r="F379" s="4"/>
      <c r="G379" s="4"/>
      <c r="H379" s="4"/>
      <c r="I379" s="4"/>
      <c r="J379" s="4"/>
      <c r="K379" s="4"/>
      <c r="L379" s="4"/>
      <c r="AG379" s="1699" t="s">
        <v>599</v>
      </c>
      <c r="AH379" s="1699"/>
    </row>
    <row r="380" spans="1:34" ht="13.05" customHeight="1">
      <c r="E380" s="4"/>
      <c r="F380" s="4"/>
      <c r="G380" s="4" t="s">
        <v>2397</v>
      </c>
      <c r="H380" s="4"/>
      <c r="I380" s="4"/>
      <c r="J380" s="4"/>
      <c r="K380" s="4"/>
      <c r="L380" s="4"/>
      <c r="AG380" s="1699" t="s">
        <v>599</v>
      </c>
      <c r="AH380" s="1699"/>
    </row>
    <row r="381" spans="1:34" ht="13.05" customHeight="1">
      <c r="E381" s="4"/>
      <c r="F381" s="4"/>
      <c r="G381" s="348" t="s">
        <v>1011</v>
      </c>
      <c r="H381" s="4"/>
      <c r="I381" s="4"/>
      <c r="J381" s="4"/>
      <c r="K381" s="4"/>
      <c r="L381" s="4"/>
      <c r="V381" s="1415" t="s">
        <v>599</v>
      </c>
      <c r="W381" s="1415"/>
      <c r="Y381" s="22" t="s">
        <v>998</v>
      </c>
    </row>
    <row r="382" spans="1:34" ht="13.05" customHeight="1">
      <c r="E382" s="4" t="s">
        <v>999</v>
      </c>
      <c r="F382" s="4"/>
      <c r="G382" s="4"/>
      <c r="H382" s="4"/>
      <c r="I382" s="4"/>
      <c r="J382" s="4"/>
      <c r="K382" s="4"/>
      <c r="L382" s="4"/>
      <c r="V382" s="1415" t="s">
        <v>599</v>
      </c>
      <c r="W382" s="1415"/>
      <c r="Y382" s="4" t="s">
        <v>1000</v>
      </c>
    </row>
    <row r="383" spans="1:34" ht="13.05" customHeight="1"/>
    <row r="384" spans="1:34" ht="13.05" customHeight="1">
      <c r="A384" s="2" t="s">
        <v>78</v>
      </c>
      <c r="B384" s="2"/>
    </row>
    <row r="385" spans="4:36" ht="13.05" customHeight="1">
      <c r="D385" t="s">
        <v>429</v>
      </c>
      <c r="J385" s="1442" t="s">
        <v>2779</v>
      </c>
      <c r="K385" s="1416"/>
      <c r="L385" s="1416"/>
      <c r="M385" s="1416"/>
      <c r="N385" s="1416"/>
      <c r="O385" s="1416"/>
      <c r="P385" s="1416"/>
      <c r="Q385" s="1416"/>
      <c r="R385" s="1416"/>
      <c r="S385" s="1416"/>
      <c r="T385" s="1416"/>
      <c r="U385" s="1416"/>
      <c r="V385" s="8" t="s">
        <v>83</v>
      </c>
      <c r="W385" s="8"/>
      <c r="X385" s="8"/>
      <c r="Y385" s="8"/>
      <c r="Z385" s="8"/>
      <c r="AA385" s="8"/>
      <c r="AB385" s="8"/>
      <c r="AC385" s="1416" t="s">
        <v>2780</v>
      </c>
      <c r="AD385" s="1416"/>
      <c r="AE385" s="1416"/>
      <c r="AF385" s="1416"/>
      <c r="AG385" s="1416"/>
      <c r="AH385" s="1416"/>
      <c r="AI385" s="1416"/>
      <c r="AJ385" s="1416"/>
    </row>
    <row r="386" spans="4:36" ht="13.05" customHeight="1">
      <c r="D386" s="3" t="s">
        <v>1287</v>
      </c>
      <c r="J386" s="1411"/>
      <c r="K386" s="1411"/>
      <c r="L386" s="1411"/>
      <c r="M386" s="1411"/>
      <c r="N386" s="1411"/>
      <c r="O386" s="1411"/>
      <c r="P386" s="1411"/>
      <c r="Q386" s="1411"/>
      <c r="R386" s="1411"/>
      <c r="S386" s="1411"/>
      <c r="T386" s="1411"/>
      <c r="U386" s="1411"/>
      <c r="V386" s="3" t="s">
        <v>1287</v>
      </c>
      <c r="W386" s="8"/>
      <c r="X386" s="8"/>
      <c r="Y386" s="8"/>
      <c r="Z386" s="8"/>
      <c r="AA386" s="8"/>
      <c r="AB386" s="8"/>
      <c r="AC386" s="1416"/>
      <c r="AD386" s="1416"/>
      <c r="AE386" s="1416"/>
      <c r="AF386" s="1416"/>
      <c r="AG386" s="1416"/>
      <c r="AH386" s="1416"/>
      <c r="AI386" s="1416"/>
      <c r="AJ386" s="1416"/>
    </row>
    <row r="387" spans="4:36" ht="13.05" customHeight="1">
      <c r="D387" s="3" t="s">
        <v>443</v>
      </c>
      <c r="J387" s="1411"/>
      <c r="K387" s="1411"/>
      <c r="L387" s="1411"/>
      <c r="M387" s="1411"/>
      <c r="N387" s="1411"/>
      <c r="O387" s="1411"/>
      <c r="P387" s="1411"/>
      <c r="Q387" s="1411"/>
      <c r="R387" s="1411"/>
      <c r="S387" s="1411"/>
      <c r="T387" s="1411"/>
      <c r="U387" s="1411"/>
      <c r="V387" s="3" t="s">
        <v>443</v>
      </c>
      <c r="W387" s="8"/>
      <c r="X387" s="8"/>
      <c r="Y387" s="8"/>
      <c r="Z387" s="8"/>
      <c r="AA387" s="8"/>
      <c r="AB387" s="8"/>
      <c r="AC387" s="1416"/>
      <c r="AD387" s="1416"/>
      <c r="AE387" s="1416"/>
      <c r="AF387" s="1416"/>
      <c r="AG387" s="1416"/>
      <c r="AH387" s="1416"/>
      <c r="AI387" s="1416"/>
      <c r="AJ387" s="1416"/>
    </row>
    <row r="388" spans="4:36" ht="13.05" customHeight="1">
      <c r="D388" t="s">
        <v>1283</v>
      </c>
      <c r="J388" s="1560"/>
      <c r="K388" s="1560"/>
      <c r="L388" s="1560"/>
      <c r="M388" s="1560"/>
      <c r="N388" s="1560"/>
      <c r="O388" s="1560"/>
      <c r="P388" s="1560"/>
      <c r="Q388" s="1560"/>
      <c r="R388" s="1560"/>
      <c r="S388" s="1560"/>
      <c r="T388" s="1560"/>
      <c r="U388" s="1560"/>
      <c r="V388" s="1416"/>
      <c r="W388" s="1416"/>
      <c r="X388" s="1416"/>
      <c r="Y388" s="1416"/>
      <c r="Z388" s="1416"/>
      <c r="AA388" s="1416"/>
      <c r="AB388" s="1416"/>
      <c r="AC388" s="1416"/>
      <c r="AD388" s="1416"/>
      <c r="AE388" s="1416"/>
      <c r="AF388" s="1416"/>
      <c r="AG388" s="1416"/>
      <c r="AH388" s="1416"/>
      <c r="AI388" s="1416"/>
      <c r="AJ388" s="1416"/>
    </row>
    <row r="389" spans="4:36" ht="13.05" customHeight="1">
      <c r="D389" t="s">
        <v>4</v>
      </c>
      <c r="Q389" s="1697" t="s">
        <v>2756</v>
      </c>
      <c r="R389" s="1698"/>
      <c r="S389" s="1698"/>
      <c r="T389" s="1698"/>
      <c r="U389" s="1698"/>
      <c r="V389" t="s">
        <v>310</v>
      </c>
      <c r="AI389" s="1415" t="s">
        <v>676</v>
      </c>
      <c r="AJ389" s="1415"/>
    </row>
    <row r="390" spans="4:36" ht="13.05" customHeight="1">
      <c r="D390" t="s">
        <v>5</v>
      </c>
      <c r="Q390" s="1585" t="s">
        <v>599</v>
      </c>
      <c r="R390" s="1694"/>
      <c r="S390" s="1694"/>
      <c r="T390" s="1694"/>
      <c r="U390" s="1694"/>
      <c r="W390" s="21" t="s">
        <v>74</v>
      </c>
      <c r="AG390" s="1691"/>
      <c r="AH390" s="1691"/>
      <c r="AI390" s="1691"/>
      <c r="AJ390" s="1691"/>
    </row>
    <row r="391" spans="4:36" ht="13.05" customHeight="1">
      <c r="D391" t="s">
        <v>428</v>
      </c>
      <c r="Q391" s="1692">
        <v>8500000</v>
      </c>
      <c r="R391" s="1692"/>
      <c r="S391" s="1692"/>
      <c r="T391" s="1692"/>
      <c r="U391" s="1692"/>
      <c r="V391" s="3" t="s">
        <v>1286</v>
      </c>
      <c r="AG391" s="1867">
        <v>45628</v>
      </c>
      <c r="AH391" s="1867"/>
      <c r="AI391" s="1867"/>
      <c r="AJ391" s="1867"/>
    </row>
    <row r="392" spans="4:36" ht="13.05" customHeight="1">
      <c r="D392" t="s">
        <v>88</v>
      </c>
      <c r="I392" s="1703"/>
      <c r="J392" s="1703"/>
      <c r="K392" s="1703"/>
      <c r="L392" s="1703"/>
      <c r="M392" s="1703"/>
      <c r="N392" s="1703"/>
      <c r="Q392" s="4" t="s">
        <v>207</v>
      </c>
      <c r="S392" s="1696"/>
      <c r="T392" s="1696"/>
      <c r="U392" s="1696"/>
      <c r="V392" t="s">
        <v>73</v>
      </c>
      <c r="AI392" s="1415" t="s">
        <v>676</v>
      </c>
      <c r="AJ392" s="1415"/>
    </row>
    <row r="393" spans="4:36" ht="13.05" customHeight="1">
      <c r="D393" t="s">
        <v>311</v>
      </c>
      <c r="Q393" s="1545"/>
      <c r="R393" s="1545"/>
      <c r="S393" s="1545"/>
      <c r="T393" s="1545"/>
      <c r="U393" s="1545"/>
      <c r="V393" t="s">
        <v>312</v>
      </c>
      <c r="AG393" s="1691"/>
      <c r="AH393" s="1691"/>
      <c r="AI393" s="1691"/>
      <c r="AJ393" s="1691"/>
    </row>
    <row r="394" spans="4:36" ht="13.05" customHeight="1">
      <c r="D394" t="s">
        <v>313</v>
      </c>
      <c r="Q394" s="1807"/>
      <c r="R394" s="1807"/>
      <c r="S394" s="1807"/>
      <c r="T394" s="1807"/>
      <c r="U394" s="1807"/>
      <c r="V394" t="s">
        <v>1267</v>
      </c>
      <c r="AG394" s="1691"/>
      <c r="AH394" s="1691"/>
      <c r="AI394" s="1691"/>
      <c r="AJ394" s="1691"/>
    </row>
    <row r="395" spans="4:36" ht="13.05" customHeight="1">
      <c r="D395" t="s">
        <v>1266</v>
      </c>
      <c r="AG395" s="1691"/>
      <c r="AH395" s="1691"/>
      <c r="AI395" s="1691"/>
      <c r="AJ395" s="1691"/>
    </row>
    <row r="396" spans="4:36" ht="13.05" customHeight="1">
      <c r="AG396" s="490"/>
      <c r="AH396" s="490"/>
      <c r="AI396" s="490"/>
      <c r="AJ396" s="490"/>
    </row>
    <row r="397" spans="4:36" ht="13.05" customHeight="1">
      <c r="D397" s="3" t="s">
        <v>2496</v>
      </c>
      <c r="AG397" s="490"/>
      <c r="AH397" s="490"/>
      <c r="AI397" s="1415" t="s">
        <v>676</v>
      </c>
      <c r="AJ397" s="1415"/>
    </row>
    <row r="398" spans="4:36" ht="13.05" customHeight="1">
      <c r="D398" s="3" t="s">
        <v>1778</v>
      </c>
      <c r="T398" s="1732"/>
      <c r="U398" s="1732"/>
      <c r="V398" s="1732"/>
      <c r="W398" s="1732"/>
      <c r="X398" s="1732"/>
      <c r="Y398" s="1732"/>
      <c r="Z398" s="1732"/>
      <c r="AA398" s="1732"/>
      <c r="AB398" s="1732"/>
      <c r="AC398" s="1732"/>
      <c r="AD398" s="1732"/>
      <c r="AE398" s="1732"/>
      <c r="AF398" s="1732"/>
      <c r="AG398" s="1732"/>
      <c r="AH398" s="1732"/>
      <c r="AI398" s="1732"/>
      <c r="AJ398" s="1732"/>
    </row>
    <row r="399" spans="4:36" ht="13.05" customHeight="1">
      <c r="D399" s="3" t="s">
        <v>1777</v>
      </c>
      <c r="T399" s="1732"/>
      <c r="U399" s="1732"/>
      <c r="V399" s="1732"/>
      <c r="W399" s="1732"/>
      <c r="X399" s="1732"/>
      <c r="Y399" s="1732"/>
      <c r="Z399" s="1732"/>
      <c r="AA399" s="1732"/>
      <c r="AB399" s="1732"/>
      <c r="AC399" s="1732"/>
      <c r="AD399" s="1732"/>
      <c r="AE399" s="1732"/>
      <c r="AF399" s="1732"/>
      <c r="AG399" s="1732"/>
      <c r="AH399" s="1732"/>
      <c r="AI399" s="1732"/>
      <c r="AJ399" s="1732"/>
    </row>
    <row r="400" spans="4:36" ht="13.05" customHeight="1">
      <c r="AG400" s="490"/>
      <c r="AH400" s="490"/>
      <c r="AI400" s="490"/>
      <c r="AJ400" s="490"/>
    </row>
    <row r="401" spans="1:36" ht="13.05" customHeight="1">
      <c r="D401" s="3" t="s">
        <v>1771</v>
      </c>
      <c r="S401" s="1732" t="s">
        <v>676</v>
      </c>
      <c r="T401" s="1732"/>
      <c r="U401" s="1732"/>
      <c r="V401" t="s">
        <v>1772</v>
      </c>
      <c r="AG401" s="1818"/>
      <c r="AH401" s="1818"/>
      <c r="AI401" s="1818"/>
      <c r="AJ401" s="1818"/>
    </row>
    <row r="402" spans="1:36" ht="13.05" customHeight="1">
      <c r="D402" s="3" t="s">
        <v>1769</v>
      </c>
      <c r="S402" s="1732"/>
      <c r="T402" s="1732"/>
      <c r="U402" s="1732"/>
      <c r="V402" t="s">
        <v>1774</v>
      </c>
      <c r="AE402" s="1870"/>
      <c r="AF402" s="1870"/>
      <c r="AG402" s="1870"/>
      <c r="AH402" s="1870"/>
      <c r="AI402" s="1870"/>
      <c r="AJ402" s="1870"/>
    </row>
    <row r="403" spans="1:36" ht="13.05" customHeight="1">
      <c r="D403" s="3" t="s">
        <v>1770</v>
      </c>
      <c r="K403" s="1851"/>
      <c r="L403" s="1851"/>
      <c r="M403" s="1851"/>
      <c r="N403" s="1851"/>
      <c r="O403" s="1851"/>
      <c r="P403" s="1851"/>
      <c r="Q403" s="1851"/>
      <c r="R403" s="1851"/>
      <c r="S403" s="1851"/>
      <c r="T403" s="1851"/>
      <c r="U403" s="1851"/>
      <c r="V403" s="1851"/>
      <c r="W403" s="1851"/>
      <c r="X403" s="1851"/>
      <c r="Y403" s="1851"/>
      <c r="Z403" s="1851"/>
      <c r="AA403" s="1851"/>
      <c r="AB403" s="1851"/>
      <c r="AC403" s="1851"/>
      <c r="AD403" s="1851"/>
      <c r="AE403" s="1851"/>
      <c r="AF403" s="1851"/>
      <c r="AG403" s="1851"/>
      <c r="AH403" s="1851"/>
      <c r="AI403" s="1851"/>
      <c r="AJ403" s="1851"/>
    </row>
    <row r="404" spans="1:36" ht="13.05" customHeight="1">
      <c r="D404" s="3" t="s">
        <v>1773</v>
      </c>
      <c r="K404" s="1851"/>
      <c r="L404" s="1851"/>
      <c r="M404" s="1851"/>
      <c r="N404" s="1851"/>
      <c r="O404" s="1851"/>
      <c r="P404" s="1851"/>
      <c r="Q404" s="1851"/>
      <c r="R404" s="1851"/>
      <c r="S404" s="1851"/>
      <c r="T404" s="1851"/>
      <c r="U404" s="1851"/>
      <c r="V404" s="1851"/>
      <c r="W404" s="1851"/>
      <c r="X404" s="1851"/>
      <c r="Y404" s="1851"/>
      <c r="Z404" s="1851"/>
      <c r="AA404" s="1851"/>
      <c r="AB404" s="1851"/>
      <c r="AC404" s="1851"/>
      <c r="AD404" s="1851"/>
      <c r="AE404" s="1851"/>
      <c r="AF404" s="1851"/>
      <c r="AG404" s="1851"/>
      <c r="AH404" s="1851"/>
      <c r="AI404" s="1851"/>
      <c r="AJ404" s="1851"/>
    </row>
    <row r="405" spans="1:36" ht="13.05" customHeight="1">
      <c r="D405" s="3" t="s">
        <v>1776</v>
      </c>
      <c r="E405" s="511"/>
      <c r="F405" s="511"/>
      <c r="G405" s="511"/>
      <c r="H405" s="511"/>
      <c r="I405" s="511"/>
      <c r="J405" s="511"/>
      <c r="K405" s="511"/>
      <c r="L405" s="511"/>
      <c r="M405" s="511"/>
      <c r="N405" s="511"/>
      <c r="O405" s="511"/>
      <c r="P405" s="511"/>
      <c r="Q405" s="511"/>
      <c r="R405" s="511"/>
      <c r="S405" s="1868" t="s">
        <v>2793</v>
      </c>
      <c r="T405" s="1868"/>
      <c r="U405" s="1868"/>
      <c r="V405" s="1868"/>
      <c r="W405" s="1868"/>
      <c r="X405" s="1868"/>
      <c r="Y405" s="1868"/>
      <c r="Z405" s="1868"/>
      <c r="AA405" s="1868"/>
      <c r="AB405" s="1868"/>
      <c r="AC405" s="1868"/>
      <c r="AD405" s="1868"/>
      <c r="AE405" s="1868"/>
      <c r="AF405" s="1868"/>
      <c r="AG405" s="1868"/>
      <c r="AH405" s="1868"/>
      <c r="AI405" s="1868"/>
      <c r="AJ405" s="1868"/>
    </row>
    <row r="406" spans="1:36" ht="13.05" customHeight="1">
      <c r="D406" s="1272" t="s">
        <v>1775</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3.05"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3.05" customHeight="1">
      <c r="AG408" s="490"/>
      <c r="AH408" s="490"/>
      <c r="AI408" s="490"/>
      <c r="AJ408" s="490"/>
    </row>
    <row r="409" spans="1:36" ht="13.05" customHeight="1">
      <c r="A409" s="2" t="s">
        <v>597</v>
      </c>
      <c r="B409" s="2"/>
      <c r="C409" s="2" t="s">
        <v>111</v>
      </c>
    </row>
    <row r="410" spans="1:36" ht="13.05" customHeight="1">
      <c r="B410" s="2"/>
      <c r="C410" s="2"/>
      <c r="D410" s="2" t="s">
        <v>1309</v>
      </c>
      <c r="I410" s="1432" t="s">
        <v>2691</v>
      </c>
      <c r="J410" s="1432"/>
      <c r="K410" s="1432"/>
      <c r="L410" s="1432"/>
      <c r="M410" s="1432"/>
      <c r="N410" s="1432"/>
      <c r="O410" s="1432"/>
      <c r="P410" s="1432"/>
      <c r="Q410" s="1432"/>
      <c r="R410" s="1432"/>
      <c r="S410" s="1432"/>
      <c r="T410" s="1432"/>
      <c r="U410" s="1432"/>
      <c r="V410" s="1432"/>
      <c r="W410" s="1432"/>
      <c r="X410" s="1432"/>
      <c r="Y410" s="1432"/>
      <c r="Z410" s="1432"/>
      <c r="AA410" s="1432"/>
      <c r="AB410" s="1432"/>
      <c r="AC410" s="1432"/>
      <c r="AD410" s="1432"/>
      <c r="AE410" s="1432"/>
    </row>
    <row r="411" spans="1:36" ht="13.05" customHeight="1">
      <c r="E411" t="s">
        <v>106</v>
      </c>
      <c r="R411" s="1415" t="s">
        <v>599</v>
      </c>
      <c r="S411" s="1415"/>
      <c r="AC411" s="27" t="s">
        <v>578</v>
      </c>
      <c r="AD411" s="1642"/>
      <c r="AE411" s="1642"/>
    </row>
    <row r="412" spans="1:36" ht="13.05" customHeight="1">
      <c r="E412" t="s">
        <v>107</v>
      </c>
      <c r="R412" s="1415" t="s">
        <v>553</v>
      </c>
      <c r="S412" s="1415"/>
      <c r="AC412" s="27" t="s">
        <v>578</v>
      </c>
      <c r="AD412" s="1642">
        <v>3</v>
      </c>
      <c r="AE412" s="1642"/>
    </row>
    <row r="413" spans="1:36" ht="13.05" customHeight="1">
      <c r="E413" t="s">
        <v>108</v>
      </c>
      <c r="S413" s="1415" t="s">
        <v>599</v>
      </c>
      <c r="T413" s="1415"/>
    </row>
    <row r="414" spans="1:36" ht="13.05" customHeight="1">
      <c r="E414" t="s">
        <v>170</v>
      </c>
      <c r="H414" s="1810" t="s">
        <v>2783</v>
      </c>
      <c r="I414" s="1810"/>
      <c r="J414" s="1810"/>
      <c r="K414" s="1810"/>
      <c r="L414" s="1810"/>
      <c r="M414" s="1810"/>
      <c r="N414" s="1810"/>
      <c r="O414" s="1810"/>
      <c r="P414" s="1810"/>
      <c r="Q414" s="1810"/>
      <c r="R414" s="1810"/>
      <c r="S414" s="1810"/>
      <c r="T414" s="1810"/>
      <c r="U414" s="1810"/>
      <c r="V414" s="1810"/>
      <c r="W414" s="1810"/>
      <c r="X414" s="1810"/>
      <c r="Y414" s="1810"/>
      <c r="Z414" s="1810"/>
      <c r="AA414" s="1810"/>
      <c r="AB414" s="1810"/>
      <c r="AC414" s="1810"/>
      <c r="AD414" s="1810"/>
      <c r="AE414" s="1810"/>
    </row>
    <row r="415" spans="1:36" ht="13.05" customHeight="1">
      <c r="H415" s="1811"/>
      <c r="I415" s="1811"/>
      <c r="J415" s="1811"/>
      <c r="K415" s="1811"/>
      <c r="L415" s="1811"/>
      <c r="M415" s="1811"/>
      <c r="N415" s="1811"/>
      <c r="O415" s="1811"/>
      <c r="P415" s="1811"/>
      <c r="Q415" s="1811"/>
      <c r="R415" s="1811"/>
      <c r="S415" s="1811"/>
      <c r="T415" s="1811"/>
      <c r="U415" s="1811"/>
      <c r="V415" s="1811"/>
      <c r="W415" s="1811"/>
      <c r="X415" s="1811"/>
      <c r="Y415" s="1811"/>
      <c r="Z415" s="1811"/>
      <c r="AA415" s="1811"/>
      <c r="AB415" s="1811"/>
      <c r="AC415" s="1811"/>
      <c r="AD415" s="1811"/>
      <c r="AE415" s="1811"/>
    </row>
    <row r="416" spans="1:36" ht="13.05" customHeight="1"/>
    <row r="417" spans="1:39" ht="13.05" customHeight="1">
      <c r="A417" s="2" t="s">
        <v>598</v>
      </c>
      <c r="B417" s="2"/>
      <c r="C417" s="2"/>
      <c r="D417" s="2" t="s">
        <v>114</v>
      </c>
      <c r="AF417" s="2" t="s">
        <v>975</v>
      </c>
    </row>
    <row r="418" spans="1:39" ht="13.05" customHeight="1">
      <c r="E418" s="1693"/>
      <c r="F418" s="1693"/>
      <c r="G418" s="1693"/>
      <c r="H418" s="13" t="s">
        <v>115</v>
      </c>
      <c r="I418" s="1693"/>
      <c r="J418" s="1693"/>
      <c r="K418" s="1693"/>
      <c r="L418" t="s">
        <v>116</v>
      </c>
      <c r="N418" s="27" t="s">
        <v>583</v>
      </c>
      <c r="P418" s="1695">
        <v>2.2999999999999998</v>
      </c>
      <c r="Q418" s="1695"/>
      <c r="R418" s="1695"/>
      <c r="S418" t="s">
        <v>117</v>
      </c>
      <c r="W418" s="1894">
        <f>IF(E418&gt;0,(E418*I418),(P418*43560))</f>
        <v>100187.99999999999</v>
      </c>
      <c r="X418" s="1894"/>
      <c r="Y418" s="1894"/>
      <c r="Z418" t="s">
        <v>118</v>
      </c>
      <c r="AF418" s="1712">
        <f>IFERROR(IF(P418&gt;0,(AG437/P418),(AG437/(W418/43560))),0)</f>
        <v>43.478260869565219</v>
      </c>
      <c r="AG418" s="1712"/>
      <c r="AH418" s="1712"/>
      <c r="AM418" s="3"/>
    </row>
    <row r="419" spans="1:39" ht="13.05" customHeight="1">
      <c r="E419" t="s">
        <v>51</v>
      </c>
    </row>
    <row r="420" spans="1:39" ht="13.05" customHeight="1">
      <c r="E420" s="1822"/>
      <c r="F420" s="1822"/>
      <c r="G420" s="1822"/>
      <c r="H420" s="1822"/>
      <c r="I420" s="1822"/>
      <c r="J420" s="1822"/>
      <c r="K420" s="1822"/>
      <c r="L420" s="1822"/>
      <c r="M420" s="1822"/>
      <c r="N420" s="1822"/>
      <c r="O420" s="1822"/>
      <c r="P420" s="1822"/>
      <c r="Q420" s="1822"/>
      <c r="R420" s="1822"/>
      <c r="S420" s="1822"/>
      <c r="T420" s="1822"/>
      <c r="U420" s="1822"/>
      <c r="V420" s="1822"/>
      <c r="W420" s="1822"/>
      <c r="X420" s="1822"/>
      <c r="Y420" s="1822"/>
      <c r="Z420" s="1822"/>
      <c r="AA420" s="1822"/>
      <c r="AB420" s="1822"/>
      <c r="AC420" s="1822"/>
      <c r="AD420" s="1822"/>
      <c r="AE420" s="1822"/>
      <c r="AF420" s="1822"/>
      <c r="AG420" s="1822"/>
      <c r="AH420" s="1822"/>
      <c r="AI420" s="1822"/>
      <c r="AJ420" s="1822"/>
    </row>
    <row r="421" spans="1:39" ht="13.05" customHeight="1">
      <c r="E421" s="118" t="s">
        <v>1923</v>
      </c>
      <c r="F421" s="1048"/>
      <c r="G421" s="1048"/>
      <c r="H421" s="1048"/>
      <c r="I421" s="1817">
        <v>2.2999999999999998</v>
      </c>
      <c r="J421" s="1817"/>
      <c r="K421" s="1817"/>
      <c r="L421" s="1048"/>
      <c r="M421" s="118"/>
      <c r="N421" s="1048"/>
      <c r="O421" s="1048"/>
      <c r="P421" s="1869">
        <f>(CS634+CS642+CS658)/I421</f>
        <v>94.782608695652186</v>
      </c>
      <c r="Q421" s="1869"/>
      <c r="R421" s="1869"/>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3.05" customHeight="1"/>
    <row r="423" spans="1:39" ht="13.05" customHeight="1">
      <c r="A423" s="2" t="s">
        <v>600</v>
      </c>
      <c r="B423" s="2"/>
      <c r="C423" s="2"/>
      <c r="D423" s="2" t="s">
        <v>120</v>
      </c>
    </row>
    <row r="424" spans="1:39" ht="13.05" customHeight="1">
      <c r="E424" t="s">
        <v>121</v>
      </c>
      <c r="P424" s="1415">
        <v>3</v>
      </c>
      <c r="Q424" s="1415"/>
      <c r="S424" t="s">
        <v>190</v>
      </c>
      <c r="AE424" s="1415">
        <v>3</v>
      </c>
      <c r="AF424" s="1415"/>
    </row>
    <row r="425" spans="1:39" ht="13.05" customHeight="1">
      <c r="E425" t="s">
        <v>191</v>
      </c>
      <c r="P425" s="1415">
        <v>0</v>
      </c>
      <c r="Q425" s="1415"/>
      <c r="S425" t="s">
        <v>131</v>
      </c>
      <c r="AE425" s="1415" t="s">
        <v>599</v>
      </c>
      <c r="AF425" s="1415"/>
    </row>
    <row r="426" spans="1:39" ht="13.05" customHeight="1">
      <c r="F426" s="28" t="s">
        <v>132</v>
      </c>
    </row>
    <row r="427" spans="1:39" ht="13.05" customHeight="1">
      <c r="F427" s="1850"/>
      <c r="G427" s="1850"/>
      <c r="H427" s="1850"/>
      <c r="I427" s="1850"/>
      <c r="J427" s="1850"/>
      <c r="K427" s="1850"/>
      <c r="L427" s="1850"/>
      <c r="M427" s="1850"/>
      <c r="N427" s="1850"/>
      <c r="O427" s="1850"/>
      <c r="P427" s="1850"/>
      <c r="Q427" s="1850"/>
      <c r="R427" s="1850"/>
      <c r="S427" s="1850"/>
      <c r="T427" s="1850"/>
      <c r="U427" s="1850"/>
      <c r="V427" s="1850"/>
      <c r="W427" s="1850"/>
      <c r="X427" s="1850"/>
      <c r="Y427" s="1850"/>
      <c r="Z427" s="1850"/>
      <c r="AA427" s="1850"/>
      <c r="AB427" s="1850"/>
      <c r="AC427" s="1850"/>
      <c r="AD427" s="1850"/>
      <c r="AE427" s="1850"/>
      <c r="AF427" s="1850"/>
      <c r="AG427" s="1850"/>
      <c r="AH427" s="1850"/>
    </row>
    <row r="428" spans="1:39" ht="13.05" customHeight="1">
      <c r="F428" s="1724"/>
      <c r="G428" s="1724"/>
      <c r="H428" s="1724"/>
      <c r="I428" s="1724"/>
      <c r="J428" s="1724"/>
      <c r="K428" s="1724"/>
      <c r="L428" s="1724"/>
      <c r="M428" s="1724"/>
      <c r="N428" s="1724"/>
      <c r="O428" s="1724"/>
      <c r="P428" s="1724"/>
      <c r="Q428" s="1724"/>
      <c r="R428" s="1724"/>
      <c r="S428" s="1724"/>
      <c r="T428" s="1724"/>
      <c r="U428" s="1724"/>
      <c r="V428" s="1724"/>
      <c r="W428" s="1724"/>
      <c r="X428" s="1724"/>
      <c r="Y428" s="1724"/>
      <c r="Z428" s="1724"/>
      <c r="AA428" s="1724"/>
      <c r="AB428" s="1724"/>
      <c r="AC428" s="1724"/>
      <c r="AD428" s="1724"/>
      <c r="AE428" s="1724"/>
      <c r="AF428" s="1724"/>
      <c r="AG428" s="1724"/>
      <c r="AH428" s="1724"/>
    </row>
    <row r="429" spans="1:39" ht="13.05" customHeight="1">
      <c r="E429" t="s">
        <v>616</v>
      </c>
      <c r="P429" s="1"/>
      <c r="Q429" s="1415" t="s">
        <v>553</v>
      </c>
      <c r="R429" s="1415"/>
    </row>
    <row r="430" spans="1:39" ht="13.05" customHeight="1">
      <c r="F430" t="s">
        <v>617</v>
      </c>
      <c r="P430" s="1"/>
      <c r="Q430" s="1"/>
      <c r="AF430" s="1415" t="s">
        <v>599</v>
      </c>
      <c r="AG430" s="1876"/>
    </row>
    <row r="431" spans="1:39" ht="13.05" customHeight="1"/>
    <row r="432" spans="1:39" ht="13.05" customHeight="1">
      <c r="A432" s="2"/>
      <c r="B432" s="2"/>
      <c r="C432" s="2"/>
      <c r="E432" s="4" t="s">
        <v>309</v>
      </c>
      <c r="Z432" s="1415" t="s">
        <v>676</v>
      </c>
      <c r="AA432" s="1415"/>
    </row>
    <row r="433" spans="1:110" ht="13.0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05" customHeight="1">
      <c r="F434" t="s">
        <v>715</v>
      </c>
      <c r="G434" s="40"/>
      <c r="I434" s="40"/>
      <c r="J434" s="40"/>
      <c r="K434" s="40"/>
      <c r="L434" s="40"/>
      <c r="M434" s="40"/>
      <c r="N434" s="40"/>
      <c r="O434" s="28"/>
      <c r="P434" s="40"/>
      <c r="Q434" s="40"/>
      <c r="R434" s="40"/>
      <c r="S434" s="40"/>
      <c r="T434" s="40"/>
      <c r="U434" s="40"/>
      <c r="V434" s="40"/>
      <c r="W434" s="40"/>
      <c r="Z434" s="1415" t="s">
        <v>599</v>
      </c>
      <c r="AA434" s="1415"/>
    </row>
    <row r="435" spans="1:110" ht="13.05" customHeight="1"/>
    <row r="436" spans="1:110" ht="13.05" customHeight="1">
      <c r="A436" s="2" t="s">
        <v>475</v>
      </c>
      <c r="B436" s="2"/>
      <c r="C436" s="2"/>
      <c r="D436" s="2" t="s">
        <v>772</v>
      </c>
      <c r="AF436" s="48"/>
    </row>
    <row r="437" spans="1:110" ht="13.05" customHeight="1">
      <c r="D437" s="1801" t="s">
        <v>43</v>
      </c>
      <c r="E437" s="1802"/>
      <c r="F437" s="1802"/>
      <c r="G437" s="1802"/>
      <c r="H437" s="1802"/>
      <c r="I437" s="1802"/>
      <c r="J437" s="1802"/>
      <c r="K437" s="1802"/>
      <c r="L437" s="1802"/>
      <c r="M437" s="1802"/>
      <c r="N437" s="1802"/>
      <c r="O437" s="1802"/>
      <c r="P437" s="1802"/>
      <c r="Q437" s="1802"/>
      <c r="R437" s="1802"/>
      <c r="S437" s="1802"/>
      <c r="T437" s="1802"/>
      <c r="U437" s="1802"/>
      <c r="V437" s="1802"/>
      <c r="W437" s="1802"/>
      <c r="X437" s="1802"/>
      <c r="Y437" s="1802"/>
      <c r="Z437" s="1802"/>
      <c r="AA437" s="1802"/>
      <c r="AB437" s="1802"/>
      <c r="AC437" s="1802"/>
      <c r="AD437" s="1802"/>
      <c r="AE437" s="1802"/>
      <c r="AF437" s="1819"/>
      <c r="AG437" s="1812">
        <v>100</v>
      </c>
      <c r="AH437" s="1812"/>
      <c r="AI437" s="1812"/>
      <c r="AJ437" s="1812"/>
    </row>
    <row r="438" spans="1:110" ht="13.05" customHeight="1">
      <c r="D438" s="1700" t="s">
        <v>1328</v>
      </c>
      <c r="E438" s="1701"/>
      <c r="F438" s="1701"/>
      <c r="G438" s="1701"/>
      <c r="H438" s="1701"/>
      <c r="I438" s="1701"/>
      <c r="J438" s="1701"/>
      <c r="K438" s="1701"/>
      <c r="L438" s="1701"/>
      <c r="M438" s="1701"/>
      <c r="N438" s="1701"/>
      <c r="O438" s="1701"/>
      <c r="P438" s="1701"/>
      <c r="Q438" s="1701"/>
      <c r="R438" s="1701"/>
      <c r="S438" s="1701"/>
      <c r="T438" s="1701"/>
      <c r="U438" s="1701"/>
      <c r="V438" s="1701"/>
      <c r="W438" s="1701"/>
      <c r="X438" s="1701"/>
      <c r="Y438" s="1701"/>
      <c r="Z438" s="1701"/>
      <c r="AA438" s="1701"/>
      <c r="AB438" s="1701"/>
      <c r="AC438" s="1701"/>
      <c r="AD438" s="1701"/>
      <c r="AE438" s="1701"/>
      <c r="AF438" s="1702"/>
      <c r="AG438" s="1821">
        <v>0</v>
      </c>
      <c r="AH438" s="1379"/>
      <c r="AI438" s="1379"/>
      <c r="AJ438" s="1379"/>
    </row>
    <row r="439" spans="1:110" ht="13.05" customHeight="1">
      <c r="D439" s="1700" t="s">
        <v>1054</v>
      </c>
      <c r="E439" s="1701"/>
      <c r="F439" s="1701"/>
      <c r="G439" s="1701"/>
      <c r="H439" s="1701"/>
      <c r="I439" s="1701"/>
      <c r="J439" s="1701"/>
      <c r="K439" s="1701"/>
      <c r="L439" s="1701"/>
      <c r="M439" s="1701"/>
      <c r="N439" s="1701"/>
      <c r="O439" s="1701"/>
      <c r="P439" s="1701"/>
      <c r="Q439" s="1701"/>
      <c r="R439" s="1701"/>
      <c r="S439" s="1701"/>
      <c r="T439" s="1701"/>
      <c r="U439" s="1701"/>
      <c r="V439" s="1701"/>
      <c r="W439" s="1701"/>
      <c r="X439" s="1701"/>
      <c r="Y439" s="1701"/>
      <c r="Z439" s="1701"/>
      <c r="AA439" s="1701"/>
      <c r="AB439" s="1701"/>
      <c r="AC439" s="1701"/>
      <c r="AD439" s="1701"/>
      <c r="AE439" s="1701"/>
      <c r="AF439" s="1702"/>
      <c r="AG439" s="1812">
        <v>99</v>
      </c>
      <c r="AH439" s="1812"/>
      <c r="AI439" s="1812"/>
      <c r="AJ439" s="1812"/>
    </row>
    <row r="440" spans="1:110" ht="13.05" customHeight="1">
      <c r="D440" s="1700" t="s">
        <v>1055</v>
      </c>
      <c r="E440" s="1701"/>
      <c r="F440" s="1701"/>
      <c r="G440" s="1701"/>
      <c r="H440" s="1701"/>
      <c r="I440" s="1701"/>
      <c r="J440" s="1701"/>
      <c r="K440" s="1701"/>
      <c r="L440" s="1701"/>
      <c r="M440" s="1701"/>
      <c r="N440" s="1701"/>
      <c r="O440" s="1701"/>
      <c r="P440" s="1701"/>
      <c r="Q440" s="1701"/>
      <c r="R440" s="1701"/>
      <c r="S440" s="1701"/>
      <c r="T440" s="1701"/>
      <c r="U440" s="1701"/>
      <c r="V440" s="1701"/>
      <c r="W440" s="1701"/>
      <c r="X440" s="1701"/>
      <c r="Y440" s="1701"/>
      <c r="Z440" s="1701"/>
      <c r="AA440" s="1701"/>
      <c r="AB440" s="1701"/>
      <c r="AC440" s="1701"/>
      <c r="AD440" s="1701"/>
      <c r="AE440" s="1701"/>
      <c r="AF440" s="1702"/>
      <c r="AG440" s="1812">
        <v>99</v>
      </c>
      <c r="AH440" s="1812"/>
      <c r="AI440" s="1812"/>
      <c r="AJ440" s="1812"/>
    </row>
    <row r="441" spans="1:110" ht="13.05" customHeight="1">
      <c r="D441" s="1700" t="s">
        <v>1057</v>
      </c>
      <c r="E441" s="1701"/>
      <c r="F441" s="1701"/>
      <c r="G441" s="1701"/>
      <c r="H441" s="1701"/>
      <c r="I441" s="1701"/>
      <c r="J441" s="1701"/>
      <c r="K441" s="1701"/>
      <c r="L441" s="1701"/>
      <c r="M441" s="1701"/>
      <c r="N441" s="1701"/>
      <c r="O441" s="1701"/>
      <c r="P441" s="1701"/>
      <c r="Q441" s="1701"/>
      <c r="R441" s="1701"/>
      <c r="S441" s="1701"/>
      <c r="T441" s="1701"/>
      <c r="U441" s="1701"/>
      <c r="V441" s="1701"/>
      <c r="W441" s="1701"/>
      <c r="X441" s="1701"/>
      <c r="Y441" s="1701"/>
      <c r="Z441" s="1701"/>
      <c r="AA441" s="1701"/>
      <c r="AB441" s="1701"/>
      <c r="AC441" s="1701"/>
      <c r="AD441" s="1701"/>
      <c r="AE441" s="1701"/>
      <c r="AF441" s="1702"/>
      <c r="AG441" s="1820">
        <f>IF(ISERROR(AG440/AG439),"",AG440/AG439)</f>
        <v>1</v>
      </c>
      <c r="AH441" s="1820"/>
      <c r="AI441" s="1820"/>
      <c r="AJ441" s="1820"/>
    </row>
    <row r="442" spans="1:110" ht="13.05" customHeight="1">
      <c r="D442" s="1700" t="s">
        <v>1056</v>
      </c>
      <c r="E442" s="1701"/>
      <c r="F442" s="1701"/>
      <c r="G442" s="1701"/>
      <c r="H442" s="1701"/>
      <c r="I442" s="1701"/>
      <c r="J442" s="1701"/>
      <c r="K442" s="1701"/>
      <c r="L442" s="1701"/>
      <c r="M442" s="1701"/>
      <c r="N442" s="1701"/>
      <c r="O442" s="1701"/>
      <c r="P442" s="1701"/>
      <c r="Q442" s="1701"/>
      <c r="R442" s="1701"/>
      <c r="S442" s="1701"/>
      <c r="T442" s="1701"/>
      <c r="U442" s="1701"/>
      <c r="V442" s="1701"/>
      <c r="W442" s="1701"/>
      <c r="X442" s="1701"/>
      <c r="Y442" s="1701"/>
      <c r="Z442" s="1701"/>
      <c r="AA442" s="1701"/>
      <c r="AB442" s="1701"/>
      <c r="AC442" s="1701"/>
      <c r="AD442" s="1701"/>
      <c r="AE442" s="1701"/>
      <c r="AF442" s="1702"/>
      <c r="AG442" s="1871">
        <v>74634</v>
      </c>
      <c r="AH442" s="1871"/>
      <c r="AI442" s="1871"/>
      <c r="AJ442" s="1871"/>
    </row>
    <row r="443" spans="1:110" ht="13.05" customHeight="1">
      <c r="D443" s="1700" t="s">
        <v>1058</v>
      </c>
      <c r="E443" s="1701"/>
      <c r="F443" s="1701"/>
      <c r="G443" s="1701"/>
      <c r="H443" s="1701"/>
      <c r="I443" s="1701"/>
      <c r="J443" s="1701"/>
      <c r="K443" s="1701"/>
      <c r="L443" s="1701"/>
      <c r="M443" s="1701"/>
      <c r="N443" s="1701"/>
      <c r="O443" s="1701"/>
      <c r="P443" s="1701"/>
      <c r="Q443" s="1701"/>
      <c r="R443" s="1701"/>
      <c r="S443" s="1701"/>
      <c r="T443" s="1701"/>
      <c r="U443" s="1701"/>
      <c r="V443" s="1701"/>
      <c r="W443" s="1701"/>
      <c r="X443" s="1701"/>
      <c r="Y443" s="1701"/>
      <c r="Z443" s="1701"/>
      <c r="AA443" s="1701"/>
      <c r="AB443" s="1701"/>
      <c r="AC443" s="1701"/>
      <c r="AD443" s="1701"/>
      <c r="AE443" s="1701"/>
      <c r="AF443" s="1702"/>
      <c r="AG443" s="1871">
        <f>+AG442</f>
        <v>74634</v>
      </c>
      <c r="AH443" s="1871"/>
      <c r="AI443" s="1871"/>
      <c r="AJ443" s="1871"/>
    </row>
    <row r="444" spans="1:110" ht="13.05" customHeight="1">
      <c r="D444" s="1700" t="s">
        <v>1059</v>
      </c>
      <c r="E444" s="1701"/>
      <c r="F444" s="1701"/>
      <c r="G444" s="1701"/>
      <c r="H444" s="1701"/>
      <c r="I444" s="1701"/>
      <c r="J444" s="1701"/>
      <c r="K444" s="1701"/>
      <c r="L444" s="1701"/>
      <c r="M444" s="1701"/>
      <c r="N444" s="1701"/>
      <c r="O444" s="1701"/>
      <c r="P444" s="1701"/>
      <c r="Q444" s="1701"/>
      <c r="R444" s="1701"/>
      <c r="S444" s="1701"/>
      <c r="T444" s="1701"/>
      <c r="U444" s="1701"/>
      <c r="V444" s="1701"/>
      <c r="W444" s="1701"/>
      <c r="X444" s="1701"/>
      <c r="Y444" s="1701"/>
      <c r="Z444" s="1701"/>
      <c r="AA444" s="1701"/>
      <c r="AB444" s="1701"/>
      <c r="AC444" s="1701"/>
      <c r="AD444" s="1701"/>
      <c r="AE444" s="1701"/>
      <c r="AF444" s="1702"/>
      <c r="AG444" s="1820">
        <f>IF(ISERROR(AG443/AG442),"",AG443/AG442)</f>
        <v>1</v>
      </c>
      <c r="AH444" s="1820"/>
      <c r="AI444" s="1820"/>
      <c r="AJ444" s="1820"/>
    </row>
    <row r="445" spans="1:110" ht="13.05" customHeight="1">
      <c r="D445" s="1700" t="s">
        <v>1060</v>
      </c>
      <c r="E445" s="1701"/>
      <c r="F445" s="1701"/>
      <c r="G445" s="1701"/>
      <c r="H445" s="1701"/>
      <c r="I445" s="1701"/>
      <c r="J445" s="1701"/>
      <c r="K445" s="1701"/>
      <c r="L445" s="1701"/>
      <c r="M445" s="1701"/>
      <c r="N445" s="1701"/>
      <c r="O445" s="1701"/>
      <c r="P445" s="1701"/>
      <c r="Q445" s="1701"/>
      <c r="R445" s="1701"/>
      <c r="S445" s="1701"/>
      <c r="T445" s="1701"/>
      <c r="U445" s="1701"/>
      <c r="V445" s="1701"/>
      <c r="W445" s="1701"/>
      <c r="X445" s="1701"/>
      <c r="Y445" s="1701"/>
      <c r="Z445" s="1701"/>
      <c r="AA445" s="1701"/>
      <c r="AB445" s="1701"/>
      <c r="AC445" s="1701"/>
      <c r="AD445" s="1701"/>
      <c r="AE445" s="1701"/>
      <c r="AF445" s="1702"/>
      <c r="AG445" s="1820">
        <f>MIN(IF(AG441&gt;AG444,AG444,AG441),1)</f>
        <v>1</v>
      </c>
      <c r="AH445" s="1820"/>
      <c r="AI445" s="1820"/>
      <c r="AJ445" s="1820"/>
    </row>
    <row r="446" spans="1:110" ht="13.05" customHeight="1">
      <c r="D446" s="1700" t="s">
        <v>2398</v>
      </c>
      <c r="E446" s="1802"/>
      <c r="F446" s="1802"/>
      <c r="G446" s="1802"/>
      <c r="H446" s="1802"/>
      <c r="I446" s="1802"/>
      <c r="J446" s="1802"/>
      <c r="K446" s="1802"/>
      <c r="L446" s="1802"/>
      <c r="M446" s="1802"/>
      <c r="N446" s="1802"/>
      <c r="O446" s="1802"/>
      <c r="P446" s="1802"/>
      <c r="Q446" s="1802"/>
      <c r="R446" s="1802"/>
      <c r="S446" s="1802"/>
      <c r="T446" s="1802"/>
      <c r="U446" s="1802"/>
      <c r="V446" s="1802"/>
      <c r="W446" s="1802"/>
      <c r="X446" s="1802"/>
      <c r="Y446" s="1802"/>
      <c r="Z446" s="1802"/>
      <c r="AA446" s="1802"/>
      <c r="AB446" s="1802"/>
      <c r="AC446" s="1802"/>
      <c r="AD446" s="1802"/>
      <c r="AE446" s="1802"/>
      <c r="AF446" s="1819"/>
      <c r="AG446" s="1871">
        <f>1250+1721+297+858</f>
        <v>4126</v>
      </c>
      <c r="AH446" s="1871"/>
      <c r="AI446" s="1871"/>
      <c r="AJ446" s="187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05" customHeight="1">
      <c r="D447" s="1801" t="s">
        <v>577</v>
      </c>
      <c r="E447" s="1802"/>
      <c r="F447" s="1802"/>
      <c r="G447" s="1802"/>
      <c r="H447" s="1802"/>
      <c r="I447" s="1802"/>
      <c r="J447" s="1802"/>
      <c r="K447" s="1802"/>
      <c r="L447" s="1802"/>
      <c r="M447" s="1802"/>
      <c r="N447" s="1802"/>
      <c r="O447" s="1802"/>
      <c r="P447" s="1802"/>
      <c r="Q447" s="1802"/>
      <c r="R447" s="1802"/>
      <c r="S447" s="1802"/>
      <c r="T447" s="1802"/>
      <c r="U447" s="1802"/>
      <c r="V447" s="1802"/>
      <c r="W447" s="1802"/>
      <c r="X447" s="1802"/>
      <c r="Y447" s="1802"/>
      <c r="Z447" s="1802"/>
      <c r="AA447" s="1802"/>
      <c r="AB447" s="1802"/>
      <c r="AC447" s="1802"/>
      <c r="AD447" s="1802"/>
      <c r="AE447" s="1802"/>
      <c r="AF447" s="1819"/>
      <c r="AG447" s="1871">
        <v>0</v>
      </c>
      <c r="AH447" s="1871"/>
      <c r="AI447" s="1871"/>
      <c r="AJ447" s="187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05" customHeight="1">
      <c r="D448" s="1700" t="s">
        <v>1310</v>
      </c>
      <c r="E448" s="1802"/>
      <c r="F448" s="1802"/>
      <c r="G448" s="1802"/>
      <c r="H448" s="1802"/>
      <c r="I448" s="1802"/>
      <c r="J448" s="1802"/>
      <c r="K448" s="1802"/>
      <c r="L448" s="1802"/>
      <c r="M448" s="1802"/>
      <c r="N448" s="1802"/>
      <c r="O448" s="1802"/>
      <c r="P448" s="1802"/>
      <c r="Q448" s="1802"/>
      <c r="R448" s="1802"/>
      <c r="S448" s="1802"/>
      <c r="T448" s="1802"/>
      <c r="U448" s="1802"/>
      <c r="V448" s="1802"/>
      <c r="W448" s="1802"/>
      <c r="X448" s="1802"/>
      <c r="Y448" s="1802"/>
      <c r="Z448" s="1802"/>
      <c r="AA448" s="1802"/>
      <c r="AB448" s="1802"/>
      <c r="AC448" s="1802"/>
      <c r="AD448" s="1802"/>
      <c r="AE448" s="1802"/>
      <c r="AF448" s="1819"/>
      <c r="AG448" s="1871">
        <v>25199</v>
      </c>
      <c r="AH448" s="1871"/>
      <c r="AI448" s="1871"/>
      <c r="AJ448" s="187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05" customHeight="1">
      <c r="D449" s="1700" t="s">
        <v>1061</v>
      </c>
      <c r="E449" s="1802"/>
      <c r="F449" s="1802"/>
      <c r="G449" s="1802"/>
      <c r="H449" s="1802"/>
      <c r="I449" s="1802"/>
      <c r="J449" s="1802"/>
      <c r="K449" s="1802"/>
      <c r="L449" s="1802"/>
      <c r="M449" s="1802"/>
      <c r="N449" s="1802"/>
      <c r="O449" s="1802"/>
      <c r="P449" s="1802"/>
      <c r="Q449" s="1802"/>
      <c r="R449" s="1802"/>
      <c r="S449" s="1802"/>
      <c r="T449" s="1802"/>
      <c r="U449" s="1802"/>
      <c r="V449" s="1802"/>
      <c r="W449" s="1802"/>
      <c r="X449" s="1802"/>
      <c r="Y449" s="1802"/>
      <c r="Z449" s="1802"/>
      <c r="AA449" s="1802"/>
      <c r="AB449" s="1802"/>
      <c r="AC449" s="1802"/>
      <c r="AD449" s="1802"/>
      <c r="AE449" s="1802"/>
      <c r="AF449" s="1819"/>
      <c r="AG449" s="1871"/>
      <c r="AH449" s="1871"/>
      <c r="AI449" s="1871"/>
      <c r="AJ449" s="187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05" customHeight="1">
      <c r="D450" s="1862" t="s">
        <v>1062</v>
      </c>
      <c r="E450" s="1863"/>
      <c r="F450" s="1863"/>
      <c r="G450" s="1863"/>
      <c r="H450" s="1863"/>
      <c r="I450" s="1863"/>
      <c r="J450" s="1863"/>
      <c r="K450" s="1863"/>
      <c r="L450" s="1863"/>
      <c r="M450" s="1863"/>
      <c r="N450" s="1863"/>
      <c r="O450" s="1863"/>
      <c r="P450" s="1863"/>
      <c r="Q450" s="1863"/>
      <c r="R450" s="1863"/>
      <c r="S450" s="1863"/>
      <c r="T450" s="1863"/>
      <c r="U450" s="1863"/>
      <c r="V450" s="1863"/>
      <c r="W450" s="1863"/>
      <c r="X450" s="1863"/>
      <c r="Y450" s="1863"/>
      <c r="Z450" s="1863"/>
      <c r="AA450" s="1863"/>
      <c r="AB450" s="1863"/>
      <c r="AC450" s="1863"/>
      <c r="AD450" s="1863"/>
      <c r="AE450" s="1863"/>
      <c r="AF450" s="1864"/>
      <c r="AG450" s="1877">
        <f>AG442+AG446+AG448+AG449</f>
        <v>103959</v>
      </c>
      <c r="AH450" s="1877"/>
      <c r="AI450" s="1877"/>
      <c r="AJ450" s="187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05" customHeight="1">
      <c r="D451" s="1865" t="s">
        <v>1311</v>
      </c>
      <c r="E451" s="1865"/>
      <c r="F451" s="1865"/>
      <c r="G451" s="1865"/>
      <c r="H451" s="1865"/>
      <c r="I451" s="1865"/>
      <c r="J451" s="1865"/>
      <c r="K451" s="1865"/>
      <c r="L451" s="1865"/>
      <c r="M451" s="1865"/>
      <c r="N451" s="1865"/>
      <c r="O451" s="1865"/>
      <c r="P451" s="1865"/>
      <c r="Q451" s="1865"/>
      <c r="R451" s="1865"/>
      <c r="S451" s="1865"/>
      <c r="T451" s="1865"/>
      <c r="U451" s="1865"/>
      <c r="V451" s="1865"/>
      <c r="W451" s="1865"/>
      <c r="X451" s="1865"/>
      <c r="Y451" s="1865"/>
      <c r="Z451" s="1865"/>
      <c r="AA451" s="1865"/>
      <c r="AB451" s="1865"/>
      <c r="AC451" s="1865"/>
      <c r="AD451" s="1865"/>
      <c r="AE451" s="1865"/>
      <c r="AF451" s="1865"/>
      <c r="AG451" s="1865"/>
      <c r="AH451" s="1865"/>
      <c r="AI451" s="1865"/>
      <c r="AJ451" s="186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05" customHeight="1">
      <c r="D452" s="1866"/>
      <c r="E452" s="1866"/>
      <c r="F452" s="1866"/>
      <c r="G452" s="1866"/>
      <c r="H452" s="1866"/>
      <c r="I452" s="1866"/>
      <c r="J452" s="1866"/>
      <c r="K452" s="1866"/>
      <c r="L452" s="1866"/>
      <c r="M452" s="1866"/>
      <c r="N452" s="1866"/>
      <c r="O452" s="1866"/>
      <c r="P452" s="1866"/>
      <c r="Q452" s="1866"/>
      <c r="R452" s="1866"/>
      <c r="S452" s="1866"/>
      <c r="T452" s="1866"/>
      <c r="U452" s="1866"/>
      <c r="V452" s="1866"/>
      <c r="W452" s="1866"/>
      <c r="X452" s="1866"/>
      <c r="Y452" s="1866"/>
      <c r="Z452" s="1866"/>
      <c r="AA452" s="1866"/>
      <c r="AB452" s="1866"/>
      <c r="AC452" s="1866"/>
      <c r="AD452" s="1866"/>
      <c r="AE452" s="1866"/>
      <c r="AF452" s="1866"/>
      <c r="AG452" s="1866"/>
      <c r="AH452" s="1866"/>
      <c r="AI452" s="1866"/>
      <c r="AJ452" s="186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0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0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72">
        <f>IF(AG437=0,"",'Sources and Uses Budget'!B105/Application!AG437)</f>
        <v>871547.2100000002</v>
      </c>
      <c r="AD454" s="1872"/>
      <c r="AE454" s="1872"/>
      <c r="AF454" s="187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0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72">
        <f>IF(AG437=0,"",'Sources and Uses Budget'!C105/Application!AG437)</f>
        <v>871547.2100000002</v>
      </c>
      <c r="AD455" s="1872"/>
      <c r="AE455" s="1872"/>
      <c r="AF455" s="187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0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72">
        <f>IF(AG437=0,"",('Sources and Uses Budget'!$S$107+'Sources and Uses Budget'!$T$107)/Application!AG437)</f>
        <v>749291.87599999993</v>
      </c>
      <c r="AD456" s="1872"/>
      <c r="AE456" s="1872"/>
      <c r="AF456" s="187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05" customHeight="1">
      <c r="D457" s="186"/>
      <c r="E457" s="186"/>
      <c r="F457" s="164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643"/>
      <c r="H457" s="1643"/>
      <c r="I457" s="1643"/>
      <c r="J457" s="1643"/>
      <c r="K457" s="1643"/>
      <c r="L457" s="1643"/>
      <c r="M457" s="1643"/>
      <c r="N457" s="1643"/>
      <c r="O457" s="1643"/>
      <c r="P457" s="1643"/>
      <c r="Q457" s="1643"/>
      <c r="R457" s="1643"/>
      <c r="S457" s="1643"/>
      <c r="T457" s="1643"/>
      <c r="U457" s="1643"/>
      <c r="V457" s="1643"/>
      <c r="W457" s="1643"/>
      <c r="X457" s="1643"/>
      <c r="Y457" s="1643"/>
      <c r="Z457" s="1643"/>
      <c r="AA457" s="1643"/>
      <c r="AB457" s="164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05" customHeight="1">
      <c r="A458" s="2"/>
      <c r="D458" s="2"/>
      <c r="E458" s="186"/>
      <c r="F458" s="1643"/>
      <c r="G458" s="1643"/>
      <c r="H458" s="1643"/>
      <c r="I458" s="1643"/>
      <c r="J458" s="1643"/>
      <c r="K458" s="1643"/>
      <c r="L458" s="1643"/>
      <c r="M458" s="1643"/>
      <c r="N458" s="1643"/>
      <c r="O458" s="1643"/>
      <c r="P458" s="1643"/>
      <c r="Q458" s="1643"/>
      <c r="R458" s="1643"/>
      <c r="S458" s="1643"/>
      <c r="T458" s="1643"/>
      <c r="U458" s="1643"/>
      <c r="V458" s="1643"/>
      <c r="W458" s="1643"/>
      <c r="X458" s="1643"/>
      <c r="Y458" s="1643"/>
      <c r="Z458" s="1643"/>
      <c r="AA458" s="1643"/>
      <c r="AB458" s="164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0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0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0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0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0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0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05" customHeight="1">
      <c r="A465" s="3"/>
      <c r="B465" s="3"/>
      <c r="C465" s="3"/>
      <c r="D465" s="1717" t="s">
        <v>2412</v>
      </c>
      <c r="E465" s="1718"/>
      <c r="F465" s="1718"/>
      <c r="G465" s="1718"/>
      <c r="H465" s="1718"/>
      <c r="I465" s="1718"/>
      <c r="J465" s="1718"/>
      <c r="K465" s="1718"/>
      <c r="L465" s="1718"/>
      <c r="M465" s="1718"/>
      <c r="N465" s="1718"/>
      <c r="O465" s="1718"/>
      <c r="P465" s="1718"/>
      <c r="Q465" s="1718"/>
      <c r="R465" s="1718"/>
      <c r="S465" s="1718"/>
      <c r="T465" s="1718"/>
      <c r="U465" s="1718"/>
      <c r="V465" s="1719"/>
      <c r="W465" s="1704"/>
      <c r="X465" s="1705"/>
      <c r="Y465" s="170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05" customHeight="1">
      <c r="A466" s="3"/>
      <c r="B466" s="3"/>
      <c r="C466" s="3"/>
      <c r="D466" s="1809" t="s">
        <v>701</v>
      </c>
      <c r="E466" s="1718"/>
      <c r="F466" s="1718"/>
      <c r="G466" s="1718"/>
      <c r="H466" s="1718"/>
      <c r="I466" s="1718"/>
      <c r="J466" s="1718"/>
      <c r="K466" s="1718"/>
      <c r="L466" s="1718"/>
      <c r="M466" s="1718"/>
      <c r="N466" s="1718"/>
      <c r="O466" s="1718"/>
      <c r="P466" s="1718"/>
      <c r="Q466" s="1718"/>
      <c r="R466" s="1718"/>
      <c r="S466" s="1718"/>
      <c r="T466" s="1718"/>
      <c r="U466" s="1718"/>
      <c r="V466" s="1719"/>
      <c r="W466" s="1704"/>
      <c r="X466" s="1705"/>
      <c r="Y466" s="170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05" customHeight="1">
      <c r="A467" s="3"/>
      <c r="B467" s="3"/>
      <c r="C467" s="3"/>
      <c r="D467" s="1809" t="s">
        <v>702</v>
      </c>
      <c r="E467" s="1718"/>
      <c r="F467" s="1718"/>
      <c r="G467" s="1718"/>
      <c r="H467" s="1718"/>
      <c r="I467" s="1718"/>
      <c r="J467" s="1718"/>
      <c r="K467" s="1718"/>
      <c r="L467" s="1718"/>
      <c r="M467" s="1718"/>
      <c r="N467" s="1718"/>
      <c r="O467" s="1718"/>
      <c r="P467" s="1718"/>
      <c r="Q467" s="1718"/>
      <c r="R467" s="1718"/>
      <c r="S467" s="1718"/>
      <c r="T467" s="1718"/>
      <c r="U467" s="1718"/>
      <c r="V467" s="1719"/>
      <c r="W467" s="1704"/>
      <c r="X467" s="1705"/>
      <c r="Y467" s="170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05" customHeight="1">
      <c r="A468" s="3"/>
      <c r="B468" s="3"/>
      <c r="C468" s="3"/>
      <c r="D468" s="1809" t="s">
        <v>703</v>
      </c>
      <c r="E468" s="1718"/>
      <c r="F468" s="1718"/>
      <c r="G468" s="1718"/>
      <c r="H468" s="1718"/>
      <c r="I468" s="1718"/>
      <c r="J468" s="1718"/>
      <c r="K468" s="1718"/>
      <c r="L468" s="1718"/>
      <c r="M468" s="1718"/>
      <c r="N468" s="1718"/>
      <c r="O468" s="1718"/>
      <c r="P468" s="1718"/>
      <c r="Q468" s="1718"/>
      <c r="R468" s="1718"/>
      <c r="S468" s="1718"/>
      <c r="T468" s="1718"/>
      <c r="U468" s="1718"/>
      <c r="V468" s="1719"/>
      <c r="W468" s="1704"/>
      <c r="X468" s="1705"/>
      <c r="Y468" s="170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05" customHeight="1">
      <c r="A469" s="3"/>
      <c r="B469" s="3"/>
      <c r="C469" s="3"/>
      <c r="D469" s="1809" t="s">
        <v>892</v>
      </c>
      <c r="E469" s="1718"/>
      <c r="F469" s="1718"/>
      <c r="G469" s="1718"/>
      <c r="H469" s="1718"/>
      <c r="I469" s="1718"/>
      <c r="J469" s="1718"/>
      <c r="K469" s="1718"/>
      <c r="L469" s="1718"/>
      <c r="M469" s="1718"/>
      <c r="N469" s="1718"/>
      <c r="O469" s="1718"/>
      <c r="P469" s="1718"/>
      <c r="Q469" s="1718"/>
      <c r="R469" s="1718"/>
      <c r="S469" s="1718"/>
      <c r="T469" s="1718"/>
      <c r="U469" s="1718"/>
      <c r="V469" s="1719"/>
      <c r="W469" s="1704"/>
      <c r="X469" s="1705"/>
      <c r="Y469" s="170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05" customHeight="1">
      <c r="A470" s="3"/>
      <c r="B470" s="3"/>
      <c r="C470" s="3"/>
      <c r="D470" s="1809" t="s">
        <v>704</v>
      </c>
      <c r="E470" s="1718"/>
      <c r="F470" s="1718"/>
      <c r="G470" s="1718"/>
      <c r="H470" s="1718"/>
      <c r="I470" s="1718"/>
      <c r="J470" s="1718"/>
      <c r="K470" s="1718"/>
      <c r="L470" s="1718"/>
      <c r="M470" s="1718"/>
      <c r="N470" s="1718"/>
      <c r="O470" s="1718"/>
      <c r="P470" s="1718"/>
      <c r="Q470" s="1718"/>
      <c r="R470" s="1718"/>
      <c r="S470" s="1718"/>
      <c r="T470" s="1718"/>
      <c r="U470" s="1718"/>
      <c r="V470" s="1719"/>
      <c r="W470" s="1704"/>
      <c r="X470" s="1705"/>
      <c r="Y470" s="1706"/>
      <c r="Z470" s="193"/>
      <c r="AA470" s="193"/>
      <c r="AB470" s="193"/>
      <c r="AC470" s="193"/>
      <c r="AD470" s="186"/>
      <c r="AE470" s="186"/>
      <c r="AF470" s="186"/>
      <c r="AG470" s="186"/>
      <c r="AH470" s="186"/>
      <c r="AI470" s="186"/>
      <c r="AJ470" s="192"/>
      <c r="AZ470" s="3"/>
      <c r="BA470" s="3">
        <f>AG591</f>
        <v>0</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05" customHeight="1">
      <c r="A471" s="3"/>
      <c r="B471" s="3"/>
      <c r="C471" s="3"/>
      <c r="D471" s="1809" t="s">
        <v>1035</v>
      </c>
      <c r="E471" s="1718"/>
      <c r="F471" s="1718"/>
      <c r="G471" s="1718"/>
      <c r="H471" s="1718"/>
      <c r="I471" s="1718"/>
      <c r="J471" s="1718"/>
      <c r="K471" s="1718"/>
      <c r="L471" s="1718"/>
      <c r="M471" s="1718"/>
      <c r="N471" s="1718"/>
      <c r="O471" s="1718"/>
      <c r="P471" s="1718"/>
      <c r="Q471" s="1718"/>
      <c r="R471" s="1718"/>
      <c r="S471" s="1718"/>
      <c r="T471" s="1718"/>
      <c r="U471" s="1718"/>
      <c r="V471" s="1719"/>
      <c r="W471" s="1704"/>
      <c r="X471" s="1705"/>
      <c r="Y471" s="170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05" customHeight="1">
      <c r="A472" s="3"/>
      <c r="B472" s="3"/>
      <c r="C472" s="3"/>
      <c r="D472" s="1717" t="s">
        <v>2547</v>
      </c>
      <c r="E472" s="1897"/>
      <c r="F472" s="1897"/>
      <c r="G472" s="1897"/>
      <c r="H472" s="1897"/>
      <c r="I472" s="1897"/>
      <c r="J472" s="1897"/>
      <c r="K472" s="1897"/>
      <c r="L472" s="1897"/>
      <c r="M472" s="1897"/>
      <c r="N472" s="1897"/>
      <c r="O472" s="1897"/>
      <c r="P472" s="1897"/>
      <c r="Q472" s="1897"/>
      <c r="R472" s="1897"/>
      <c r="S472" s="1897"/>
      <c r="T472" s="1897"/>
      <c r="U472" s="1897"/>
      <c r="V472" s="1898"/>
      <c r="W472" s="1704"/>
      <c r="X472" s="1705"/>
      <c r="Y472" s="170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05" customHeight="1">
      <c r="A473" s="3"/>
      <c r="B473" s="3"/>
      <c r="C473" s="3"/>
      <c r="D473" s="1717" t="s">
        <v>1764</v>
      </c>
      <c r="E473" s="1718"/>
      <c r="F473" s="1718"/>
      <c r="G473" s="1718"/>
      <c r="H473" s="1718"/>
      <c r="I473" s="1718"/>
      <c r="J473" s="1718"/>
      <c r="K473" s="1718"/>
      <c r="L473" s="1718"/>
      <c r="M473" s="1718"/>
      <c r="N473" s="1718"/>
      <c r="O473" s="1718"/>
      <c r="P473" s="1718"/>
      <c r="Q473" s="1718"/>
      <c r="R473" s="1718"/>
      <c r="S473" s="1718"/>
      <c r="T473" s="1718"/>
      <c r="U473" s="1718"/>
      <c r="V473" s="1719"/>
      <c r="W473" s="1704">
        <v>15</v>
      </c>
      <c r="X473" s="1705"/>
      <c r="Y473" s="170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05" customHeight="1">
      <c r="A474" s="3"/>
      <c r="B474" s="3"/>
      <c r="C474" s="3"/>
      <c r="D474" s="261" t="s">
        <v>170</v>
      </c>
      <c r="E474" s="262"/>
      <c r="F474" s="263"/>
      <c r="G474" s="1814" t="s">
        <v>2758</v>
      </c>
      <c r="H474" s="1815"/>
      <c r="I474" s="1815"/>
      <c r="J474" s="1815"/>
      <c r="K474" s="1815"/>
      <c r="L474" s="1815"/>
      <c r="M474" s="1815"/>
      <c r="N474" s="1815"/>
      <c r="O474" s="1815"/>
      <c r="P474" s="1815"/>
      <c r="Q474" s="1815"/>
      <c r="R474" s="1815"/>
      <c r="S474" s="1815"/>
      <c r="T474" s="1815"/>
      <c r="U474" s="1815"/>
      <c r="V474" s="1816"/>
      <c r="W474" s="1704">
        <v>100</v>
      </c>
      <c r="X474" s="1705"/>
      <c r="Y474" s="170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0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05" customHeight="1">
      <c r="A476" s="3"/>
      <c r="B476" s="3"/>
      <c r="C476" s="3"/>
      <c r="D476" s="1264" t="s">
        <v>2789</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05" customHeight="1">
      <c r="A477" s="3"/>
      <c r="B477" s="3"/>
      <c r="C477" s="3"/>
      <c r="D477" s="268" t="s">
        <v>2790</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0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f>N599</f>
        <v>0</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05" customHeight="1">
      <c r="AU479" s="95"/>
      <c r="AV479" s="95"/>
      <c r="AW479" s="95"/>
      <c r="AX479" s="95"/>
      <c r="AY479" s="95"/>
      <c r="AZ479" s="3"/>
      <c r="BA479" s="3">
        <f>AG599</f>
        <v>0</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05" customHeight="1">
      <c r="A480" s="1434" t="s">
        <v>818</v>
      </c>
      <c r="B480" s="1434"/>
      <c r="C480" s="1434"/>
      <c r="D480" s="1434"/>
      <c r="E480" s="1434"/>
      <c r="F480" s="1434"/>
      <c r="G480" s="1434"/>
      <c r="H480" s="1434"/>
      <c r="I480" s="1434"/>
      <c r="J480" s="1434"/>
      <c r="K480" s="1434"/>
      <c r="L480" s="1434"/>
      <c r="M480" s="1434"/>
      <c r="N480" s="1434"/>
      <c r="O480" s="1434"/>
      <c r="P480" s="1434"/>
      <c r="Q480" s="1434"/>
      <c r="R480" s="1434"/>
      <c r="S480" s="1434"/>
      <c r="T480" s="1434"/>
      <c r="U480" s="1434"/>
      <c r="V480" s="1434"/>
      <c r="W480" s="1434"/>
      <c r="X480" s="1434"/>
      <c r="Y480" s="1434"/>
      <c r="Z480" s="1434"/>
      <c r="AA480" s="1434"/>
      <c r="AB480" s="1434"/>
      <c r="AC480" s="1434"/>
      <c r="AD480" s="1434"/>
      <c r="AE480" s="1434"/>
      <c r="AF480" s="1434"/>
      <c r="AG480" s="1434"/>
      <c r="AH480" s="1434"/>
      <c r="AI480" s="1434"/>
      <c r="AJ480" s="1434"/>
      <c r="AK480" s="1434"/>
      <c r="AL480" s="1434"/>
      <c r="AM480" s="1434"/>
      <c r="AN480" s="1434"/>
      <c r="AO480" s="1434"/>
      <c r="AP480" s="1434"/>
      <c r="AQ480" s="1434"/>
      <c r="AR480" s="1434"/>
      <c r="AS480" s="1434"/>
      <c r="AT480" s="143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05" customHeight="1">
      <c r="A481" s="1434"/>
      <c r="B481" s="1434"/>
      <c r="C481" s="1434"/>
      <c r="D481" s="1434"/>
      <c r="E481" s="1434"/>
      <c r="F481" s="1434"/>
      <c r="G481" s="1434"/>
      <c r="H481" s="1434"/>
      <c r="I481" s="1434"/>
      <c r="J481" s="1434"/>
      <c r="K481" s="1434"/>
      <c r="L481" s="1434"/>
      <c r="M481" s="1434"/>
      <c r="N481" s="1434"/>
      <c r="O481" s="1434"/>
      <c r="P481" s="1434"/>
      <c r="Q481" s="1434"/>
      <c r="R481" s="1434"/>
      <c r="S481" s="1434"/>
      <c r="T481" s="1434"/>
      <c r="U481" s="1434"/>
      <c r="V481" s="1434"/>
      <c r="W481" s="1434"/>
      <c r="X481" s="1434"/>
      <c r="Y481" s="1434"/>
      <c r="Z481" s="1434"/>
      <c r="AA481" s="1434"/>
      <c r="AB481" s="1434"/>
      <c r="AC481" s="1434"/>
      <c r="AD481" s="1434"/>
      <c r="AE481" s="1434"/>
      <c r="AF481" s="1434"/>
      <c r="AG481" s="1434"/>
      <c r="AH481" s="1434"/>
      <c r="AI481" s="1434"/>
      <c r="AJ481" s="1434"/>
      <c r="AK481" s="1434"/>
      <c r="AL481" s="1434"/>
      <c r="AM481" s="1434"/>
      <c r="AN481" s="1434"/>
      <c r="AO481" s="1434"/>
      <c r="AP481" s="1434"/>
      <c r="AQ481" s="1434"/>
      <c r="AR481" s="1434"/>
      <c r="AS481" s="1434"/>
      <c r="AT481" s="143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0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05"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0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05" customHeight="1">
      <c r="B485" s="45"/>
      <c r="C485" s="5"/>
      <c r="D485" s="5"/>
      <c r="E485" s="5"/>
      <c r="F485" s="5"/>
      <c r="G485" s="5"/>
      <c r="H485" s="5"/>
      <c r="I485" s="5"/>
      <c r="J485" s="5"/>
      <c r="K485" s="5"/>
      <c r="L485" s="5"/>
      <c r="M485" s="5"/>
      <c r="N485" s="5"/>
      <c r="O485" s="5"/>
      <c r="P485" s="46"/>
      <c r="Q485" s="1813" t="s">
        <v>394</v>
      </c>
      <c r="R485" s="1726"/>
      <c r="S485" s="1726"/>
      <c r="T485" s="1726"/>
      <c r="U485" s="1726"/>
      <c r="V485" s="1726"/>
      <c r="W485" s="1726"/>
      <c r="X485" s="1726"/>
      <c r="Y485" s="1726"/>
      <c r="Z485" s="1726"/>
      <c r="AA485" s="1726"/>
      <c r="AB485" s="1726"/>
      <c r="AC485" s="1726"/>
      <c r="AD485" s="1726"/>
      <c r="AE485" s="1726"/>
      <c r="AF485" s="1726"/>
      <c r="AG485" s="1726"/>
      <c r="AH485" s="1726"/>
      <c r="AI485" s="1726"/>
      <c r="AJ485" s="1726"/>
      <c r="AK485" s="172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05" customHeight="1">
      <c r="B486" s="45" t="s">
        <v>395</v>
      </c>
      <c r="C486" s="5"/>
      <c r="D486" s="5"/>
      <c r="E486" s="5"/>
      <c r="F486" s="5"/>
      <c r="G486" s="5"/>
      <c r="H486" s="5"/>
      <c r="I486" s="5"/>
      <c r="J486" s="5"/>
      <c r="K486" s="5"/>
      <c r="L486" s="5"/>
      <c r="M486" s="5"/>
      <c r="N486" s="5"/>
      <c r="O486" s="5"/>
      <c r="P486" s="5"/>
      <c r="Q486" s="1710" t="s">
        <v>2738</v>
      </c>
      <c r="R486" s="1411"/>
      <c r="S486" s="1411"/>
      <c r="T486" s="1411"/>
      <c r="U486" s="1411"/>
      <c r="V486" s="1411"/>
      <c r="W486" s="1411"/>
      <c r="X486" s="1411"/>
      <c r="Y486" s="1411"/>
      <c r="Z486" s="1411"/>
      <c r="AA486" s="1411"/>
      <c r="AB486" s="1411"/>
      <c r="AC486" s="1411"/>
      <c r="AD486" s="1411"/>
      <c r="AE486" s="1411"/>
      <c r="AF486" s="1411"/>
      <c r="AG486" s="1411"/>
      <c r="AH486" s="1411"/>
      <c r="AI486" s="1411"/>
      <c r="AJ486" s="1411"/>
      <c r="AK486" s="1711"/>
      <c r="AZ486" s="3"/>
      <c r="BB486" s="3"/>
      <c r="BC486" s="3"/>
      <c r="BD486" s="3"/>
      <c r="BE486" s="3"/>
      <c r="BF486" s="3"/>
      <c r="BG486" s="3"/>
      <c r="BH486" s="3"/>
      <c r="BI486" s="3"/>
      <c r="BJ486" s="3"/>
      <c r="BK486" s="3"/>
      <c r="BL486" s="3"/>
      <c r="BM486" s="3"/>
      <c r="BN486" s="3"/>
      <c r="BO486" s="3"/>
      <c r="BP486" s="3"/>
      <c r="BQ486" s="3"/>
      <c r="BR486" s="3"/>
      <c r="BS486" s="3"/>
      <c r="BT486" s="3"/>
      <c r="BU486" s="3"/>
      <c r="BV486" s="207" t="s">
        <v>2628</v>
      </c>
      <c r="BW486" s="208"/>
      <c r="BX486" s="208"/>
      <c r="BY486" s="208"/>
      <c r="BZ486" s="208"/>
      <c r="CA486" s="208"/>
      <c r="CB486" s="208"/>
      <c r="CC486" s="3"/>
      <c r="CD486" s="207" t="s">
        <v>2629</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05" customHeight="1">
      <c r="B487" s="45" t="s">
        <v>396</v>
      </c>
      <c r="C487" s="5"/>
      <c r="D487" s="5"/>
      <c r="E487" s="5"/>
      <c r="F487" s="5"/>
      <c r="G487" s="5"/>
      <c r="H487" s="5"/>
      <c r="I487" s="5"/>
      <c r="J487" s="5"/>
      <c r="K487" s="5"/>
      <c r="L487" s="5"/>
      <c r="M487" s="5"/>
      <c r="N487" s="5"/>
      <c r="O487" s="5"/>
      <c r="P487" s="5"/>
      <c r="Q487" s="1879" t="s">
        <v>2739</v>
      </c>
      <c r="R487" s="1411"/>
      <c r="S487" s="1411"/>
      <c r="T487" s="1411"/>
      <c r="U487" s="1411"/>
      <c r="V487" s="1411"/>
      <c r="W487" s="1411"/>
      <c r="X487" s="1411"/>
      <c r="Y487" s="1411"/>
      <c r="Z487" s="1411"/>
      <c r="AA487" s="1411"/>
      <c r="AB487" s="1411"/>
      <c r="AC487" s="1411"/>
      <c r="AD487" s="1411"/>
      <c r="AE487" s="1411"/>
      <c r="AF487" s="1411"/>
      <c r="AG487" s="1411"/>
      <c r="AH487" s="1411"/>
      <c r="AI487" s="1411"/>
      <c r="AJ487" s="1411"/>
      <c r="AK487" s="1711"/>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2227</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05" customHeight="1">
      <c r="B488" s="45" t="s">
        <v>397</v>
      </c>
      <c r="C488" s="5"/>
      <c r="D488" s="5"/>
      <c r="E488" s="5"/>
      <c r="F488" s="5"/>
      <c r="G488" s="5"/>
      <c r="H488" s="5"/>
      <c r="I488" s="5"/>
      <c r="J488" s="5"/>
      <c r="K488" s="5"/>
      <c r="L488" s="5"/>
      <c r="M488" s="5"/>
      <c r="N488" s="5"/>
      <c r="O488" s="5"/>
      <c r="P488" s="5"/>
      <c r="Q488" s="1710" t="s">
        <v>2737</v>
      </c>
      <c r="R488" s="1411"/>
      <c r="S488" s="1411"/>
      <c r="T488" s="1411"/>
      <c r="U488" s="1411"/>
      <c r="V488" s="1411"/>
      <c r="W488" s="1411"/>
      <c r="X488" s="1411"/>
      <c r="Y488" s="1411"/>
      <c r="Z488" s="1411"/>
      <c r="AA488" s="1411"/>
      <c r="AB488" s="1411"/>
      <c r="AC488" s="1411"/>
      <c r="AD488" s="1411"/>
      <c r="AE488" s="1411"/>
      <c r="AF488" s="1411"/>
      <c r="AG488" s="1411"/>
      <c r="AH488" s="1411"/>
      <c r="AI488" s="1411"/>
      <c r="AJ488" s="1411"/>
      <c r="AK488" s="171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05" customHeight="1" thickBot="1">
      <c r="B489" s="1880" t="s">
        <v>398</v>
      </c>
      <c r="C489" s="1881"/>
      <c r="D489" s="1881"/>
      <c r="E489" s="1881"/>
      <c r="F489" s="1881"/>
      <c r="G489" s="1881"/>
      <c r="H489" s="1881"/>
      <c r="I489" s="1881"/>
      <c r="J489" s="1881"/>
      <c r="K489" s="1881"/>
      <c r="L489" s="1881"/>
      <c r="M489" s="1881"/>
      <c r="N489" s="1881"/>
      <c r="O489" s="1881"/>
      <c r="P489" s="1882"/>
      <c r="Q489" s="1886" t="s">
        <v>676</v>
      </c>
      <c r="R489" s="1887"/>
      <c r="S489" s="1720" t="s">
        <v>166</v>
      </c>
      <c r="T489" s="1721"/>
      <c r="U489" s="1721"/>
      <c r="V489" s="1721"/>
      <c r="W489" s="1721"/>
      <c r="X489" s="1721"/>
      <c r="Y489" s="1721"/>
      <c r="Z489" s="1721"/>
      <c r="AA489" s="1721"/>
      <c r="AB489" s="1721"/>
      <c r="AC489" s="1721"/>
      <c r="AD489" s="1721"/>
      <c r="AE489" s="1721"/>
      <c r="AF489" s="1721"/>
      <c r="AG489" s="1721"/>
      <c r="AH489" s="1721"/>
      <c r="AI489" s="1721"/>
      <c r="AJ489" s="1721"/>
      <c r="AK489" s="172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05" customHeight="1">
      <c r="B490" s="1883"/>
      <c r="C490" s="1884"/>
      <c r="D490" s="1884"/>
      <c r="E490" s="1884"/>
      <c r="F490" s="1884"/>
      <c r="G490" s="1884"/>
      <c r="H490" s="1884"/>
      <c r="I490" s="1884"/>
      <c r="J490" s="1884"/>
      <c r="K490" s="1884"/>
      <c r="L490" s="1884"/>
      <c r="M490" s="1884"/>
      <c r="N490" s="1884"/>
      <c r="O490" s="1884"/>
      <c r="P490" s="1885"/>
      <c r="Q490" s="1888"/>
      <c r="R490" s="1889"/>
      <c r="S490" s="1723"/>
      <c r="T490" s="1724"/>
      <c r="U490" s="1724"/>
      <c r="V490" s="1724"/>
      <c r="W490" s="1724"/>
      <c r="X490" s="1724"/>
      <c r="Y490" s="1724"/>
      <c r="Z490" s="1724"/>
      <c r="AA490" s="1724"/>
      <c r="AB490" s="1724"/>
      <c r="AC490" s="1724"/>
      <c r="AD490" s="1724"/>
      <c r="AE490" s="1724"/>
      <c r="AF490" s="1724"/>
      <c r="AG490" s="1724"/>
      <c r="AH490" s="1724"/>
      <c r="AI490" s="1724"/>
      <c r="AJ490" s="1724"/>
      <c r="AK490" s="172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05" customHeight="1">
      <c r="B491" s="930" t="s">
        <v>1782</v>
      </c>
      <c r="C491" s="907"/>
      <c r="D491" s="907"/>
      <c r="E491" s="907"/>
      <c r="F491" s="907"/>
      <c r="G491" s="907"/>
      <c r="H491" s="907"/>
      <c r="I491" s="907"/>
      <c r="J491" s="907"/>
      <c r="K491" s="907"/>
      <c r="L491" s="907"/>
      <c r="M491" s="907"/>
      <c r="N491" s="907"/>
      <c r="O491" s="907"/>
      <c r="P491" s="907"/>
      <c r="Q491" s="1890" t="s">
        <v>599</v>
      </c>
      <c r="R491" s="1891"/>
      <c r="S491" s="1891"/>
      <c r="T491" s="1891"/>
      <c r="U491" s="1891"/>
      <c r="V491" s="1891"/>
      <c r="W491" s="1891"/>
      <c r="X491" s="1891"/>
      <c r="Y491" s="1891"/>
      <c r="Z491" s="1891"/>
      <c r="AA491" s="1891"/>
      <c r="AB491" s="1891"/>
      <c r="AC491" s="1891"/>
      <c r="AD491" s="1891"/>
      <c r="AE491" s="1891"/>
      <c r="AF491" s="1891"/>
      <c r="AG491" s="1891"/>
      <c r="AH491" s="1891"/>
      <c r="AI491" s="1891"/>
      <c r="AJ491" s="1891"/>
      <c r="AK491" s="1892"/>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05" customHeight="1">
      <c r="B492" s="45" t="s">
        <v>399</v>
      </c>
      <c r="C492" s="5"/>
      <c r="D492" s="5"/>
      <c r="E492" s="5"/>
      <c r="F492" s="5"/>
      <c r="G492" s="5"/>
      <c r="H492" s="5"/>
      <c r="I492" s="5"/>
      <c r="J492" s="5"/>
      <c r="K492" s="5"/>
      <c r="L492" s="5"/>
      <c r="M492" s="5"/>
      <c r="N492" s="5"/>
      <c r="O492" s="5"/>
      <c r="P492" s="5"/>
      <c r="Q492" s="1710" t="s">
        <v>2736</v>
      </c>
      <c r="R492" s="1411"/>
      <c r="S492" s="1411"/>
      <c r="T492" s="1411"/>
      <c r="U492" s="1411"/>
      <c r="V492" s="1411"/>
      <c r="W492" s="1411"/>
      <c r="X492" s="1411"/>
      <c r="Y492" s="1411"/>
      <c r="Z492" s="1411"/>
      <c r="AA492" s="1411"/>
      <c r="AB492" s="1411"/>
      <c r="AC492" s="1411"/>
      <c r="AD492" s="1411"/>
      <c r="AE492" s="1411"/>
      <c r="AF492" s="1411"/>
      <c r="AG492" s="1411"/>
      <c r="AH492" s="1411"/>
      <c r="AI492" s="1411"/>
      <c r="AJ492" s="1411"/>
      <c r="AK492" s="171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05" customHeight="1">
      <c r="B493" s="45" t="s">
        <v>400</v>
      </c>
      <c r="C493" s="5"/>
      <c r="D493" s="5"/>
      <c r="E493" s="5"/>
      <c r="F493" s="5"/>
      <c r="G493" s="5"/>
      <c r="H493" s="5"/>
      <c r="I493" s="5"/>
      <c r="J493" s="5"/>
      <c r="K493" s="5"/>
      <c r="L493" s="5"/>
      <c r="M493" s="5"/>
      <c r="N493" s="5"/>
      <c r="O493" s="5"/>
      <c r="P493" s="5"/>
      <c r="Q493" s="1710">
        <v>0</v>
      </c>
      <c r="R493" s="1411"/>
      <c r="S493" s="1411"/>
      <c r="T493" s="1411"/>
      <c r="U493" s="1411"/>
      <c r="V493" s="1411"/>
      <c r="W493" s="1411"/>
      <c r="X493" s="1411"/>
      <c r="Y493" s="1411"/>
      <c r="Z493" s="1411"/>
      <c r="AA493" s="1411"/>
      <c r="AB493" s="1411"/>
      <c r="AC493" s="1411"/>
      <c r="AD493" s="1411"/>
      <c r="AE493" s="1411"/>
      <c r="AF493" s="1411"/>
      <c r="AG493" s="1411"/>
      <c r="AH493" s="1411"/>
      <c r="AI493" s="1411"/>
      <c r="AJ493" s="1411"/>
      <c r="AK493" s="171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05" customHeight="1">
      <c r="B494" s="121" t="s">
        <v>1779</v>
      </c>
      <c r="C494" s="5"/>
      <c r="D494" s="5"/>
      <c r="E494" s="5"/>
      <c r="F494" s="5"/>
      <c r="G494" s="5"/>
      <c r="H494" s="5"/>
      <c r="I494" s="5"/>
      <c r="J494" s="5"/>
      <c r="K494" s="5"/>
      <c r="L494" s="5"/>
      <c r="M494" s="5"/>
      <c r="N494" s="5"/>
      <c r="O494" s="5"/>
      <c r="P494" s="5"/>
      <c r="Q494" s="1710">
        <v>114</v>
      </c>
      <c r="R494" s="1411"/>
      <c r="S494" s="1411"/>
      <c r="T494" s="1411"/>
      <c r="U494" s="1411"/>
      <c r="V494" s="1411"/>
      <c r="W494" s="1411"/>
      <c r="X494" s="1411"/>
      <c r="Y494" s="1411"/>
      <c r="Z494" s="1411"/>
      <c r="AA494" s="1411"/>
      <c r="AB494" s="1411"/>
      <c r="AC494" s="1411"/>
      <c r="AD494" s="1411"/>
      <c r="AE494" s="1411"/>
      <c r="AF494" s="1411"/>
      <c r="AG494" s="1411"/>
      <c r="AH494" s="1411"/>
      <c r="AI494" s="1411"/>
      <c r="AJ494" s="1411"/>
      <c r="AK494" s="171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05" customHeight="1">
      <c r="B495" s="121" t="s">
        <v>1780</v>
      </c>
      <c r="C495" s="5"/>
      <c r="D495" s="5"/>
      <c r="E495" s="5"/>
      <c r="F495" s="5"/>
      <c r="G495" s="5"/>
      <c r="H495" s="5"/>
      <c r="I495" s="5"/>
      <c r="J495" s="5"/>
      <c r="K495" s="5"/>
      <c r="L495" s="5"/>
      <c r="M495" s="1418">
        <v>0</v>
      </c>
      <c r="N495" s="1419"/>
      <c r="O495" s="1419"/>
      <c r="P495" s="1420"/>
      <c r="Q495" s="121" t="s">
        <v>1781</v>
      </c>
      <c r="R495" s="5"/>
      <c r="S495" s="5"/>
      <c r="T495" s="5"/>
      <c r="U495" s="5"/>
      <c r="V495" s="5"/>
      <c r="W495" s="5"/>
      <c r="X495" s="5"/>
      <c r="Y495" s="5"/>
      <c r="Z495" s="5"/>
      <c r="AA495" s="5"/>
      <c r="AB495" s="5"/>
      <c r="AC495" s="5"/>
      <c r="AD495" s="5"/>
      <c r="AE495" s="5"/>
      <c r="AF495" s="5"/>
      <c r="AG495" s="5"/>
      <c r="AH495" s="1418">
        <v>114</v>
      </c>
      <c r="AI495" s="1419"/>
      <c r="AJ495" s="1419"/>
      <c r="AK495" s="142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0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0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0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0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13" t="s">
        <v>402</v>
      </c>
      <c r="AD499" s="1726"/>
      <c r="AE499" s="1726"/>
      <c r="AF499" s="1726"/>
      <c r="AG499" s="1726"/>
      <c r="AH499" s="1726"/>
      <c r="AI499" s="1726"/>
      <c r="AJ499" s="1726"/>
      <c r="AK499" s="172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0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13" t="s">
        <v>403</v>
      </c>
      <c r="AD500" s="1726"/>
      <c r="AE500" s="1726"/>
      <c r="AF500" s="1726"/>
      <c r="AG500" s="50" t="s">
        <v>404</v>
      </c>
      <c r="AH500" s="1726" t="s">
        <v>405</v>
      </c>
      <c r="AI500" s="1726"/>
      <c r="AJ500" s="1726"/>
      <c r="AK500" s="172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05" customHeight="1">
      <c r="B501" s="1728" t="s">
        <v>406</v>
      </c>
      <c r="C501" s="1467"/>
      <c r="D501" s="1467"/>
      <c r="E501" s="1467"/>
      <c r="F501" s="1467"/>
      <c r="G501" s="1467"/>
      <c r="H501" s="1468"/>
      <c r="I501" s="42" t="s">
        <v>407</v>
      </c>
      <c r="J501" s="42"/>
      <c r="K501" s="42"/>
      <c r="L501" s="42"/>
      <c r="M501" s="42"/>
      <c r="N501" s="42"/>
      <c r="O501" s="42"/>
      <c r="P501" s="42"/>
      <c r="Q501" s="42"/>
      <c r="R501" s="42"/>
      <c r="S501" s="42"/>
      <c r="T501" s="42"/>
      <c r="U501" s="42"/>
      <c r="V501" s="42"/>
      <c r="W501" s="42"/>
      <c r="AC501" s="1713">
        <v>3</v>
      </c>
      <c r="AD501" s="1642"/>
      <c r="AE501" s="1642"/>
      <c r="AF501" s="1642"/>
      <c r="AG501" s="13" t="s">
        <v>404</v>
      </c>
      <c r="AH501" s="1560">
        <v>2025</v>
      </c>
      <c r="AI501" s="1560"/>
      <c r="AJ501" s="1560"/>
      <c r="AK501" s="1561"/>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05" customHeight="1">
      <c r="B502" s="1729"/>
      <c r="C502" s="1469"/>
      <c r="D502" s="1469"/>
      <c r="E502" s="1469"/>
      <c r="F502" s="1469"/>
      <c r="G502" s="1469"/>
      <c r="H502" s="1470"/>
      <c r="I502" s="48" t="s">
        <v>408</v>
      </c>
      <c r="J502" s="48"/>
      <c r="K502" s="48"/>
      <c r="L502" s="48"/>
      <c r="M502" s="48"/>
      <c r="N502" s="48"/>
      <c r="O502" s="48"/>
      <c r="P502" s="48"/>
      <c r="Q502" s="48"/>
      <c r="R502" s="48"/>
      <c r="S502" s="48"/>
      <c r="T502" s="48"/>
      <c r="U502" s="48"/>
      <c r="V502" s="48"/>
      <c r="W502" s="48"/>
      <c r="X502" s="48"/>
      <c r="Y502" s="48"/>
      <c r="Z502" s="48"/>
      <c r="AA502" s="48"/>
      <c r="AB502" s="48"/>
      <c r="AC502" s="1713">
        <v>9</v>
      </c>
      <c r="AD502" s="1642"/>
      <c r="AE502" s="1642"/>
      <c r="AF502" s="1642"/>
      <c r="AG502" s="38" t="s">
        <v>404</v>
      </c>
      <c r="AH502" s="1560">
        <v>2024</v>
      </c>
      <c r="AI502" s="1560"/>
      <c r="AJ502" s="1560"/>
      <c r="AK502" s="1561"/>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05" customHeight="1">
      <c r="B503" s="1728" t="s">
        <v>409</v>
      </c>
      <c r="C503" s="1467"/>
      <c r="D503" s="1467"/>
      <c r="E503" s="1467"/>
      <c r="F503" s="1467"/>
      <c r="G503" s="1467"/>
      <c r="H503" s="1468"/>
      <c r="I503" s="42" t="s">
        <v>410</v>
      </c>
      <c r="J503" s="42"/>
      <c r="K503" s="42"/>
      <c r="L503" s="42"/>
      <c r="M503" s="42"/>
      <c r="N503" s="42"/>
      <c r="O503" s="42"/>
      <c r="P503" s="42"/>
      <c r="Q503" s="42"/>
      <c r="R503" s="42"/>
      <c r="S503" s="42"/>
      <c r="T503" s="42"/>
      <c r="U503" s="42"/>
      <c r="V503" s="42"/>
      <c r="W503" s="42"/>
      <c r="AC503" s="1713" t="s">
        <v>599</v>
      </c>
      <c r="AD503" s="1642"/>
      <c r="AE503" s="1642"/>
      <c r="AF503" s="1642"/>
      <c r="AG503" s="13" t="s">
        <v>404</v>
      </c>
      <c r="AH503" s="1560"/>
      <c r="AI503" s="1560"/>
      <c r="AJ503" s="1560"/>
      <c r="AK503" s="1561"/>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05" customHeight="1">
      <c r="B504" s="1729"/>
      <c r="C504" s="1469"/>
      <c r="D504" s="1469"/>
      <c r="E504" s="1469"/>
      <c r="F504" s="1469"/>
      <c r="G504" s="1469"/>
      <c r="H504" s="1470"/>
      <c r="I504" t="s">
        <v>411</v>
      </c>
      <c r="AC504" s="1713" t="s">
        <v>599</v>
      </c>
      <c r="AD504" s="1642"/>
      <c r="AE504" s="1642"/>
      <c r="AF504" s="1642"/>
      <c r="AG504" s="13" t="s">
        <v>404</v>
      </c>
      <c r="AH504" s="1560"/>
      <c r="AI504" s="1560"/>
      <c r="AJ504" s="1560"/>
      <c r="AK504" s="1561"/>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05" customHeight="1">
      <c r="B505" s="1729"/>
      <c r="C505" s="1469"/>
      <c r="D505" s="1469"/>
      <c r="E505" s="1469"/>
      <c r="F505" s="1469"/>
      <c r="G505" s="1469"/>
      <c r="H505" s="1470"/>
      <c r="I505" t="s">
        <v>412</v>
      </c>
      <c r="AC505" s="1713">
        <v>11</v>
      </c>
      <c r="AD505" s="1642"/>
      <c r="AE505" s="1642"/>
      <c r="AF505" s="1642"/>
      <c r="AG505" s="13" t="s">
        <v>404</v>
      </c>
      <c r="AH505" s="1560">
        <v>2024</v>
      </c>
      <c r="AI505" s="1560"/>
      <c r="AJ505" s="1560"/>
      <c r="AK505" s="1561"/>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05" customHeight="1">
      <c r="B506" s="1729"/>
      <c r="C506" s="1469"/>
      <c r="D506" s="1469"/>
      <c r="E506" s="1469"/>
      <c r="F506" s="1469"/>
      <c r="G506" s="1469"/>
      <c r="H506" s="1470"/>
      <c r="I506" t="s">
        <v>413</v>
      </c>
      <c r="AC506" s="1713">
        <v>5</v>
      </c>
      <c r="AD506" s="1642"/>
      <c r="AE506" s="1642"/>
      <c r="AF506" s="1642"/>
      <c r="AG506" s="13" t="s">
        <v>404</v>
      </c>
      <c r="AH506" s="1560">
        <v>2025</v>
      </c>
      <c r="AI506" s="1560"/>
      <c r="AJ506" s="1560"/>
      <c r="AK506" s="1561"/>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05" customHeight="1">
      <c r="B507" s="1729"/>
      <c r="C507" s="1469"/>
      <c r="D507" s="1469"/>
      <c r="E507" s="1469"/>
      <c r="F507" s="1469"/>
      <c r="G507" s="1469"/>
      <c r="H507" s="1470"/>
      <c r="I507" s="3" t="s">
        <v>414</v>
      </c>
      <c r="AC507" s="1355">
        <v>5</v>
      </c>
      <c r="AD507" s="1356"/>
      <c r="AE507" s="1356"/>
      <c r="AF507" s="1356"/>
      <c r="AG507" s="13" t="s">
        <v>404</v>
      </c>
      <c r="AH507" s="1560">
        <v>2025</v>
      </c>
      <c r="AI507" s="1560"/>
      <c r="AJ507" s="1560"/>
      <c r="AK507" s="1561"/>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05" customHeight="1">
      <c r="B508" s="1729"/>
      <c r="C508" s="1469"/>
      <c r="D508" s="1469"/>
      <c r="E508" s="1469"/>
      <c r="F508" s="1469"/>
      <c r="G508" s="1469"/>
      <c r="H508" s="1470"/>
      <c r="I508" s="931" t="s">
        <v>170</v>
      </c>
      <c r="J508" s="48"/>
      <c r="K508" s="48"/>
      <c r="L508" s="1731" t="s">
        <v>335</v>
      </c>
      <c r="M508" s="1732"/>
      <c r="N508" s="1732"/>
      <c r="O508" s="1732"/>
      <c r="P508" s="1732"/>
      <c r="Q508" s="1732"/>
      <c r="R508" s="1732"/>
      <c r="S508" s="1732"/>
      <c r="T508" s="1732"/>
      <c r="U508" s="1732"/>
      <c r="V508" s="1732"/>
      <c r="W508" s="1732"/>
      <c r="X508" s="1732"/>
      <c r="Y508" s="1732"/>
      <c r="Z508" s="1732"/>
      <c r="AA508" s="1732"/>
      <c r="AB508" s="1878"/>
      <c r="AC508" s="1713" t="s">
        <v>599</v>
      </c>
      <c r="AD508" s="1642"/>
      <c r="AE508" s="1642"/>
      <c r="AF508" s="1642"/>
      <c r="AG508" s="38" t="s">
        <v>404</v>
      </c>
      <c r="AH508" s="1560"/>
      <c r="AI508" s="1560"/>
      <c r="AJ508" s="1560"/>
      <c r="AK508" s="1561"/>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05" customHeight="1">
      <c r="B509" s="905"/>
      <c r="C509" s="130"/>
      <c r="D509" s="130"/>
      <c r="E509" s="130"/>
      <c r="F509" s="130"/>
      <c r="G509" s="130"/>
      <c r="H509" s="906"/>
      <c r="I509" s="3" t="s">
        <v>1786</v>
      </c>
      <c r="AC509" s="1812" t="s">
        <v>676</v>
      </c>
      <c r="AD509" s="1812"/>
      <c r="AE509" s="1812"/>
      <c r="AF509" s="1812"/>
      <c r="AG509" s="13"/>
      <c r="AH509" s="1303"/>
      <c r="AI509" s="1303"/>
      <c r="AJ509" s="1303"/>
      <c r="AK509" s="171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05" customHeight="1">
      <c r="B510" s="905"/>
      <c r="C510" s="130"/>
      <c r="D510" s="130"/>
      <c r="E510" s="130"/>
      <c r="F510" s="130"/>
      <c r="G510" s="130"/>
      <c r="H510" s="906"/>
      <c r="I510" t="s">
        <v>1783</v>
      </c>
      <c r="AC510" s="1896" t="s">
        <v>599</v>
      </c>
      <c r="AD510" s="1356"/>
      <c r="AE510" s="1356"/>
      <c r="AF510" s="1357"/>
      <c r="AG510" s="13"/>
      <c r="AH510" s="1303"/>
      <c r="AI510" s="1303"/>
      <c r="AJ510" s="1303"/>
      <c r="AK510" s="171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0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0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733" t="s">
        <v>599</v>
      </c>
      <c r="AD512" s="1734"/>
      <c r="AE512" s="1734"/>
      <c r="AF512" s="1735"/>
      <c r="AG512" s="38"/>
      <c r="AH512" s="1736"/>
      <c r="AI512" s="1736"/>
      <c r="AJ512" s="1736"/>
      <c r="AK512" s="1737"/>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0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715" t="s">
        <v>403</v>
      </c>
      <c r="AD513" s="1716"/>
      <c r="AE513" s="1716"/>
      <c r="AF513" s="1716"/>
      <c r="AG513" s="38" t="s">
        <v>404</v>
      </c>
      <c r="AH513" s="1716" t="s">
        <v>405</v>
      </c>
      <c r="AI513" s="1716"/>
      <c r="AJ513" s="1716"/>
      <c r="AK513" s="1893"/>
      <c r="AZ513" s="3"/>
      <c r="BA513" s="3"/>
      <c r="BB513" s="3"/>
      <c r="BC513" s="3"/>
      <c r="BD513" s="3"/>
      <c r="BE513" s="3"/>
      <c r="BF513" s="3"/>
      <c r="BG513" s="3"/>
      <c r="BH513" s="3"/>
      <c r="BI513" s="3"/>
      <c r="BJ513" s="3"/>
      <c r="BK513" s="3"/>
      <c r="BL513" s="3"/>
      <c r="BM513" s="3"/>
      <c r="BN513" s="3" t="s">
        <v>2418</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05" customHeight="1">
      <c r="B514" s="1728" t="s">
        <v>415</v>
      </c>
      <c r="C514" s="1467"/>
      <c r="D514" s="1467"/>
      <c r="E514" s="1467"/>
      <c r="F514" s="1467"/>
      <c r="G514" s="1467"/>
      <c r="H514" s="1468"/>
      <c r="I514" s="42" t="s">
        <v>416</v>
      </c>
      <c r="J514" s="42"/>
      <c r="K514" s="42"/>
      <c r="L514" s="42"/>
      <c r="M514" s="42"/>
      <c r="N514" s="42"/>
      <c r="O514" s="42"/>
      <c r="P514" s="42"/>
      <c r="Q514" s="42"/>
      <c r="R514" s="42"/>
      <c r="S514" s="42"/>
      <c r="T514" s="42"/>
      <c r="U514" s="42"/>
      <c r="V514" s="42"/>
      <c r="W514" s="42"/>
      <c r="AC514" s="1713">
        <v>8</v>
      </c>
      <c r="AD514" s="1642"/>
      <c r="AE514" s="1642"/>
      <c r="AF514" s="1642"/>
      <c r="AG514" s="13" t="s">
        <v>404</v>
      </c>
      <c r="AH514" s="1560">
        <v>2024</v>
      </c>
      <c r="AI514" s="1560"/>
      <c r="AJ514" s="1560"/>
      <c r="AK514" s="1561"/>
      <c r="AZ514" s="3"/>
      <c r="BA514" s="3"/>
      <c r="BB514" s="3"/>
      <c r="BC514" s="3"/>
      <c r="BD514" s="3"/>
      <c r="BE514" s="3"/>
      <c r="BF514" s="3"/>
      <c r="BG514" s="3"/>
      <c r="BH514" s="3"/>
      <c r="BI514" s="3"/>
      <c r="BJ514" s="3"/>
      <c r="BK514" s="3"/>
      <c r="BL514" s="3"/>
      <c r="BM514" s="3"/>
      <c r="BN514" s="3" t="s">
        <v>2419</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05" customHeight="1">
      <c r="B515" s="1729"/>
      <c r="C515" s="1469"/>
      <c r="D515" s="1469"/>
      <c r="E515" s="1469"/>
      <c r="F515" s="1469"/>
      <c r="G515" s="1469"/>
      <c r="H515" s="1470"/>
      <c r="I515" t="s">
        <v>417</v>
      </c>
      <c r="AC515" s="1713">
        <v>8</v>
      </c>
      <c r="AD515" s="1642"/>
      <c r="AE515" s="1642"/>
      <c r="AF515" s="1642"/>
      <c r="AG515" s="13" t="s">
        <v>404</v>
      </c>
      <c r="AH515" s="1560">
        <v>2024</v>
      </c>
      <c r="AI515" s="1560"/>
      <c r="AJ515" s="1560"/>
      <c r="AK515" s="1561"/>
      <c r="AZ515" s="3"/>
      <c r="BA515" s="3"/>
      <c r="BB515" s="3"/>
      <c r="BC515" s="3"/>
      <c r="BD515" s="3"/>
      <c r="BE515" s="3"/>
      <c r="BF515" s="3"/>
      <c r="BG515" s="3"/>
      <c r="BH515" s="3"/>
      <c r="BI515" s="3"/>
      <c r="BJ515" s="3"/>
      <c r="BK515" s="3"/>
      <c r="BL515" s="3"/>
      <c r="BM515" s="3"/>
      <c r="BN515" s="3" t="s">
        <v>2420</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05" customHeight="1">
      <c r="B516" s="1729"/>
      <c r="C516" s="1469"/>
      <c r="D516" s="1469"/>
      <c r="E516" s="1469"/>
      <c r="F516" s="1469"/>
      <c r="G516" s="1469"/>
      <c r="H516" s="1470"/>
      <c r="I516" s="48" t="s">
        <v>418</v>
      </c>
      <c r="J516" s="48"/>
      <c r="K516" s="48"/>
      <c r="L516" s="48"/>
      <c r="M516" s="48"/>
      <c r="N516" s="48"/>
      <c r="O516" s="48"/>
      <c r="P516" s="48"/>
      <c r="Q516" s="48"/>
      <c r="R516" s="48"/>
      <c r="S516" s="48"/>
      <c r="T516" s="48"/>
      <c r="U516" s="48"/>
      <c r="V516" s="48"/>
      <c r="W516" s="48"/>
      <c r="X516" s="48"/>
      <c r="Y516" s="48"/>
      <c r="Z516" s="48"/>
      <c r="AA516" s="48"/>
      <c r="AB516" s="48"/>
      <c r="AC516" s="1713">
        <v>6</v>
      </c>
      <c r="AD516" s="1642"/>
      <c r="AE516" s="1642"/>
      <c r="AF516" s="1642"/>
      <c r="AG516" s="38" t="s">
        <v>404</v>
      </c>
      <c r="AH516" s="1560">
        <v>2025</v>
      </c>
      <c r="AI516" s="1560"/>
      <c r="AJ516" s="1560"/>
      <c r="AK516" s="1561"/>
      <c r="AZ516" s="3"/>
      <c r="BA516" s="3"/>
      <c r="BB516" s="3"/>
      <c r="BC516" s="3"/>
      <c r="BD516" s="3"/>
      <c r="BE516" s="3"/>
      <c r="BF516" s="3"/>
      <c r="BG516" s="3"/>
      <c r="BH516" s="3"/>
      <c r="BI516" s="3"/>
      <c r="BJ516" s="3"/>
      <c r="BK516" s="3"/>
      <c r="BL516" s="3"/>
      <c r="BM516" s="3"/>
      <c r="BN516" s="3" t="s">
        <v>2421</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05" customHeight="1">
      <c r="B517" s="1728" t="s">
        <v>419</v>
      </c>
      <c r="C517" s="1467"/>
      <c r="D517" s="1467"/>
      <c r="E517" s="1467"/>
      <c r="F517" s="1467"/>
      <c r="G517" s="1467"/>
      <c r="H517" s="1468"/>
      <c r="I517" s="42" t="s">
        <v>416</v>
      </c>
      <c r="J517" s="42"/>
      <c r="K517" s="42"/>
      <c r="L517" s="42"/>
      <c r="M517" s="42"/>
      <c r="N517" s="42"/>
      <c r="O517" s="42"/>
      <c r="P517" s="42"/>
      <c r="Q517" s="42"/>
      <c r="R517" s="42"/>
      <c r="S517" s="42"/>
      <c r="T517" s="42"/>
      <c r="U517" s="42"/>
      <c r="V517" s="42"/>
      <c r="W517" s="42"/>
      <c r="X517" s="42"/>
      <c r="Y517" s="42"/>
      <c r="Z517" s="42"/>
      <c r="AA517" s="42"/>
      <c r="AB517" s="42"/>
      <c r="AC517" s="1355">
        <v>8</v>
      </c>
      <c r="AD517" s="1356"/>
      <c r="AE517" s="1356"/>
      <c r="AF517" s="1356"/>
      <c r="AG517" s="129" t="s">
        <v>404</v>
      </c>
      <c r="AH517" s="1560">
        <v>2024</v>
      </c>
      <c r="AI517" s="1560"/>
      <c r="AJ517" s="1560"/>
      <c r="AK517" s="1561"/>
      <c r="AZ517" s="3"/>
      <c r="BB517" s="3"/>
      <c r="BC517" s="3"/>
      <c r="BD517" s="3"/>
      <c r="BE517" s="3"/>
      <c r="BF517" s="3"/>
      <c r="BG517" s="3"/>
      <c r="BH517" s="3"/>
      <c r="BI517" s="3"/>
      <c r="BJ517" s="3"/>
      <c r="BK517" s="3"/>
      <c r="BL517" s="3"/>
      <c r="BM517" s="3"/>
      <c r="BN517" s="3" t="s">
        <v>2422</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05" customHeight="1">
      <c r="B518" s="1729"/>
      <c r="C518" s="1469"/>
      <c r="D518" s="1469"/>
      <c r="E518" s="1469"/>
      <c r="F518" s="1469"/>
      <c r="G518" s="1469"/>
      <c r="H518" s="1470"/>
      <c r="I518" t="s">
        <v>417</v>
      </c>
      <c r="AC518" s="1713">
        <v>8</v>
      </c>
      <c r="AD518" s="1642"/>
      <c r="AE518" s="1642"/>
      <c r="AF518" s="1642"/>
      <c r="AG518" s="13" t="s">
        <v>404</v>
      </c>
      <c r="AH518" s="1560">
        <v>2024</v>
      </c>
      <c r="AI518" s="1560"/>
      <c r="AJ518" s="1560"/>
      <c r="AK518" s="1561"/>
      <c r="BB518" s="3"/>
      <c r="BC518" s="3"/>
      <c r="BD518" s="3"/>
      <c r="BE518" s="3"/>
      <c r="BF518" s="3"/>
      <c r="BG518" s="3"/>
      <c r="BH518" s="3"/>
      <c r="BI518" s="3"/>
      <c r="BJ518" s="3"/>
      <c r="BK518" s="3"/>
      <c r="BL518" s="3"/>
      <c r="BM518" s="3"/>
      <c r="BN518" s="3" t="s">
        <v>2423</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05" customHeight="1">
      <c r="B519" s="1730"/>
      <c r="C519" s="1471"/>
      <c r="D519" s="1471"/>
      <c r="E519" s="1471"/>
      <c r="F519" s="1471"/>
      <c r="G519" s="1471"/>
      <c r="H519" s="1472"/>
      <c r="I519" s="48" t="s">
        <v>418</v>
      </c>
      <c r="J519" s="48"/>
      <c r="K519" s="48"/>
      <c r="L519" s="48"/>
      <c r="M519" s="48"/>
      <c r="N519" s="48"/>
      <c r="O519" s="48"/>
      <c r="P519" s="48"/>
      <c r="Q519" s="48"/>
      <c r="R519" s="48"/>
      <c r="S519" s="48"/>
      <c r="T519" s="48"/>
      <c r="U519" s="48"/>
      <c r="V519" s="48"/>
      <c r="W519" s="48"/>
      <c r="X519" s="48"/>
      <c r="Y519" s="48"/>
      <c r="Z519" s="48"/>
      <c r="AA519" s="48"/>
      <c r="AB519" s="48"/>
      <c r="AC519" s="1713">
        <v>9</v>
      </c>
      <c r="AD519" s="1642"/>
      <c r="AE519" s="1642"/>
      <c r="AF519" s="1642"/>
      <c r="AG519" s="38" t="s">
        <v>404</v>
      </c>
      <c r="AH519" s="1560">
        <v>2027</v>
      </c>
      <c r="AI519" s="1560"/>
      <c r="AJ519" s="1560"/>
      <c r="AK519" s="1561"/>
      <c r="BB519" s="3"/>
      <c r="BC519" s="3"/>
      <c r="BD519" s="3"/>
      <c r="BE519" s="3"/>
      <c r="BF519" s="3"/>
      <c r="BG519" s="3"/>
      <c r="BH519" s="3"/>
      <c r="BI519" s="3"/>
      <c r="BJ519" s="3"/>
      <c r="BK519" s="3"/>
      <c r="BL519" s="3"/>
      <c r="BM519" s="3"/>
      <c r="BN519" s="3" t="s">
        <v>2424</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05" customHeight="1">
      <c r="B520" s="1728" t="s">
        <v>420</v>
      </c>
      <c r="C520" s="1467"/>
      <c r="D520" s="1467"/>
      <c r="E520" s="1467"/>
      <c r="F520" s="1467"/>
      <c r="G520" s="1467"/>
      <c r="H520" s="1468"/>
      <c r="I520" s="41" t="s">
        <v>421</v>
      </c>
      <c r="J520" s="42"/>
      <c r="K520" s="42"/>
      <c r="L520" s="42"/>
      <c r="M520" s="42"/>
      <c r="N520" s="42"/>
      <c r="O520" s="1731" t="s">
        <v>2718</v>
      </c>
      <c r="P520" s="1732"/>
      <c r="Q520" s="1732"/>
      <c r="R520" s="1732"/>
      <c r="S520" s="1732"/>
      <c r="T520" s="1732"/>
      <c r="U520" s="1732"/>
      <c r="V520" s="1732"/>
      <c r="W520" s="1732"/>
      <c r="X520" s="1732"/>
      <c r="Y520" s="1732"/>
      <c r="Z520" s="1732"/>
      <c r="AA520" s="1732"/>
      <c r="AB520" s="58"/>
      <c r="AC520" s="1355" t="s">
        <v>599</v>
      </c>
      <c r="AD520" s="1356"/>
      <c r="AE520" s="1356"/>
      <c r="AF520" s="1356"/>
      <c r="AG520" s="129" t="s">
        <v>404</v>
      </c>
      <c r="AH520" s="1560"/>
      <c r="AI520" s="1560"/>
      <c r="AJ520" s="1560"/>
      <c r="AK520" s="1561"/>
      <c r="AZ520" s="3"/>
      <c r="BB520" s="3"/>
      <c r="BC520" s="3"/>
      <c r="BD520" s="3"/>
      <c r="BE520" s="3"/>
      <c r="BF520" s="3"/>
      <c r="BG520" s="3"/>
      <c r="BH520" s="3"/>
      <c r="BI520" s="3"/>
      <c r="BJ520" s="3"/>
      <c r="BK520" s="3"/>
      <c r="BL520" s="3"/>
      <c r="BM520" s="3"/>
      <c r="BN520" s="3" t="s">
        <v>2425</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05" customHeight="1">
      <c r="B521" s="1729"/>
      <c r="C521" s="1469"/>
      <c r="D521" s="1469"/>
      <c r="E521" s="1469"/>
      <c r="F521" s="1469"/>
      <c r="G521" s="1469"/>
      <c r="H521" s="1470"/>
      <c r="I521" s="114" t="s">
        <v>422</v>
      </c>
      <c r="AB521" s="65"/>
      <c r="AC521" s="1713">
        <v>8</v>
      </c>
      <c r="AD521" s="1642"/>
      <c r="AE521" s="1642"/>
      <c r="AF521" s="1642"/>
      <c r="AG521" s="13" t="s">
        <v>404</v>
      </c>
      <c r="AH521" s="1560">
        <v>2024</v>
      </c>
      <c r="AI521" s="1560"/>
      <c r="AJ521" s="1560"/>
      <c r="AK521" s="1561"/>
      <c r="AZ521" s="3"/>
      <c r="BB521" s="3"/>
      <c r="BC521" s="3"/>
      <c r="BD521" s="3"/>
      <c r="BE521" s="3"/>
      <c r="BF521" s="3"/>
      <c r="BG521" s="3"/>
      <c r="BH521" s="3"/>
      <c r="BI521" s="3"/>
      <c r="BJ521" s="3"/>
      <c r="BK521" s="3"/>
      <c r="BL521" s="3"/>
      <c r="BM521" s="3"/>
      <c r="BN521" s="3" t="s">
        <v>2426</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05" customHeight="1">
      <c r="B522" s="1729"/>
      <c r="C522" s="1469"/>
      <c r="D522" s="1469"/>
      <c r="E522" s="1469"/>
      <c r="F522" s="1469"/>
      <c r="G522" s="1469"/>
      <c r="H522" s="1470"/>
      <c r="I522" s="47" t="s">
        <v>423</v>
      </c>
      <c r="J522" s="48"/>
      <c r="K522" s="48"/>
      <c r="L522" s="48"/>
      <c r="M522" s="48"/>
      <c r="N522" s="48"/>
      <c r="O522" s="48"/>
      <c r="P522" s="48"/>
      <c r="Q522" s="48"/>
      <c r="R522" s="48"/>
      <c r="S522" s="48"/>
      <c r="T522" s="48"/>
      <c r="U522" s="48"/>
      <c r="V522" s="48"/>
      <c r="W522" s="48"/>
      <c r="X522" s="48"/>
      <c r="Y522" s="48"/>
      <c r="Z522" s="48"/>
      <c r="AA522" s="48"/>
      <c r="AB522" s="49"/>
      <c r="AC522" s="1713">
        <v>12</v>
      </c>
      <c r="AD522" s="1642"/>
      <c r="AE522" s="1642"/>
      <c r="AF522" s="1642"/>
      <c r="AG522" s="38" t="s">
        <v>404</v>
      </c>
      <c r="AH522" s="1560">
        <v>2024</v>
      </c>
      <c r="AI522" s="1560"/>
      <c r="AJ522" s="1560"/>
      <c r="AK522" s="1561"/>
      <c r="AZ522" s="3"/>
      <c r="BA522" s="3"/>
      <c r="BB522" s="3"/>
      <c r="BC522" s="3"/>
      <c r="BD522" s="3"/>
      <c r="BE522" s="3"/>
      <c r="BF522" s="3"/>
      <c r="BG522" s="3"/>
      <c r="BH522" s="3"/>
      <c r="BI522" s="3"/>
      <c r="BJ522" s="3"/>
      <c r="BK522" s="3"/>
      <c r="BL522" s="3"/>
      <c r="BM522" s="3"/>
      <c r="BN522" s="3" t="s">
        <v>2427</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05" customHeight="1">
      <c r="B523" s="1729"/>
      <c r="C523" s="1469"/>
      <c r="D523" s="1469"/>
      <c r="E523" s="1469"/>
      <c r="F523" s="1469"/>
      <c r="G523" s="1469"/>
      <c r="H523" s="1470"/>
      <c r="I523" s="42" t="s">
        <v>424</v>
      </c>
      <c r="J523" s="42"/>
      <c r="K523" s="42"/>
      <c r="L523" s="42"/>
      <c r="M523" s="42"/>
      <c r="N523" s="42"/>
      <c r="O523" s="1731" t="s">
        <v>2740</v>
      </c>
      <c r="P523" s="1732"/>
      <c r="Q523" s="1732"/>
      <c r="R523" s="1732"/>
      <c r="S523" s="1732"/>
      <c r="T523" s="1732"/>
      <c r="U523" s="1732"/>
      <c r="V523" s="1732"/>
      <c r="W523" s="1732"/>
      <c r="X523" s="1732"/>
      <c r="Y523" s="1732"/>
      <c r="Z523" s="1732"/>
      <c r="AA523" s="1732"/>
      <c r="AC523" s="1895" t="s">
        <v>599</v>
      </c>
      <c r="AD523" s="1642"/>
      <c r="AE523" s="1642"/>
      <c r="AF523" s="1642"/>
      <c r="AG523" s="13" t="s">
        <v>404</v>
      </c>
      <c r="AH523" s="1560"/>
      <c r="AI523" s="1560"/>
      <c r="AJ523" s="1560"/>
      <c r="AK523" s="1561"/>
      <c r="AZ523" s="3"/>
      <c r="BA523" s="3"/>
      <c r="BB523" s="3"/>
      <c r="BC523" s="3"/>
      <c r="BD523" s="3"/>
      <c r="BE523" s="3"/>
      <c r="BF523" s="3"/>
      <c r="BG523" s="3"/>
      <c r="BH523" s="3"/>
      <c r="BI523" s="3"/>
      <c r="BJ523" s="3"/>
      <c r="BK523" s="3"/>
      <c r="BL523" s="3"/>
      <c r="BM523" s="3"/>
      <c r="BN523" s="3" t="s">
        <v>2428</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05" customHeight="1">
      <c r="B524" s="1729"/>
      <c r="C524" s="1469"/>
      <c r="D524" s="1469"/>
      <c r="E524" s="1469"/>
      <c r="F524" s="1469"/>
      <c r="G524" s="1469"/>
      <c r="H524" s="1470"/>
      <c r="I524" t="s">
        <v>422</v>
      </c>
      <c r="AC524" s="1713">
        <v>5</v>
      </c>
      <c r="AD524" s="1642"/>
      <c r="AE524" s="1642"/>
      <c r="AF524" s="1642"/>
      <c r="AG524" s="13" t="s">
        <v>404</v>
      </c>
      <c r="AH524" s="1560">
        <v>2024</v>
      </c>
      <c r="AI524" s="1560"/>
      <c r="AJ524" s="1560"/>
      <c r="AK524" s="1561"/>
      <c r="AZ524" s="3"/>
      <c r="BA524" s="3"/>
      <c r="BB524" s="3"/>
      <c r="BC524" s="3"/>
      <c r="BD524" s="3"/>
      <c r="BE524" s="3"/>
      <c r="BF524" s="3"/>
      <c r="BG524" s="3"/>
      <c r="BH524" s="3"/>
      <c r="BI524" s="3"/>
      <c r="BJ524" s="3"/>
      <c r="BK524" s="3"/>
      <c r="BL524" s="3"/>
      <c r="BM524" s="3"/>
      <c r="BN524" s="3" t="s">
        <v>2429</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05" customHeight="1">
      <c r="B525" s="1729"/>
      <c r="C525" s="1469"/>
      <c r="D525" s="1469"/>
      <c r="E525" s="1469"/>
      <c r="F525" s="1469"/>
      <c r="G525" s="1469"/>
      <c r="H525" s="1470"/>
      <c r="I525" s="48" t="s">
        <v>423</v>
      </c>
      <c r="J525" s="48"/>
      <c r="K525" s="48"/>
      <c r="L525" s="48"/>
      <c r="M525" s="48"/>
      <c r="N525" s="48"/>
      <c r="O525" s="48"/>
      <c r="P525" s="48"/>
      <c r="Q525" s="48"/>
      <c r="R525" s="48"/>
      <c r="S525" s="48"/>
      <c r="T525" s="48"/>
      <c r="U525" s="48"/>
      <c r="V525" s="48"/>
      <c r="W525" s="48"/>
      <c r="X525" s="48"/>
      <c r="Y525" s="48"/>
      <c r="Z525" s="48"/>
      <c r="AA525" s="48"/>
      <c r="AB525" s="48"/>
      <c r="AC525" s="1713">
        <v>5</v>
      </c>
      <c r="AD525" s="1642"/>
      <c r="AE525" s="1642"/>
      <c r="AF525" s="1642"/>
      <c r="AG525" s="38" t="s">
        <v>404</v>
      </c>
      <c r="AH525" s="1560">
        <v>2024</v>
      </c>
      <c r="AI525" s="1560"/>
      <c r="AJ525" s="1560"/>
      <c r="AK525" s="1561"/>
      <c r="AZ525" s="3"/>
      <c r="BA525" s="3"/>
      <c r="BB525" s="3"/>
      <c r="BC525" s="3"/>
      <c r="BD525" s="3"/>
      <c r="BE525" s="3"/>
      <c r="BF525" s="3"/>
      <c r="BG525" s="3"/>
      <c r="BH525" s="3"/>
      <c r="BI525" s="3"/>
      <c r="BJ525" s="3"/>
      <c r="BK525" s="3"/>
      <c r="BL525" s="3"/>
      <c r="BM525" s="3"/>
      <c r="BN525" s="3" t="s">
        <v>2430</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05" customHeight="1">
      <c r="B526" s="1729"/>
      <c r="C526" s="1469"/>
      <c r="D526" s="1469"/>
      <c r="E526" s="1469"/>
      <c r="F526" s="1469"/>
      <c r="G526" s="1469"/>
      <c r="H526" s="1470"/>
      <c r="I526" s="42" t="s">
        <v>424</v>
      </c>
      <c r="J526" s="42"/>
      <c r="K526" s="42"/>
      <c r="L526" s="42"/>
      <c r="M526" s="42"/>
      <c r="N526" s="42"/>
      <c r="O526" s="1731" t="s">
        <v>335</v>
      </c>
      <c r="P526" s="1732"/>
      <c r="Q526" s="1732"/>
      <c r="R526" s="1732"/>
      <c r="S526" s="1732"/>
      <c r="T526" s="1732"/>
      <c r="U526" s="1732"/>
      <c r="V526" s="1732"/>
      <c r="W526" s="1732"/>
      <c r="X526" s="1732"/>
      <c r="Y526" s="1732"/>
      <c r="Z526" s="1732"/>
      <c r="AA526" s="1732"/>
      <c r="AC526" s="1713" t="s">
        <v>599</v>
      </c>
      <c r="AD526" s="1642"/>
      <c r="AE526" s="1642"/>
      <c r="AF526" s="1642"/>
      <c r="AG526" s="13" t="s">
        <v>404</v>
      </c>
      <c r="AH526" s="1560"/>
      <c r="AI526" s="1560"/>
      <c r="AJ526" s="1560"/>
      <c r="AK526" s="1561"/>
      <c r="AZ526" s="3"/>
      <c r="BA526" s="3"/>
      <c r="BB526" s="3"/>
      <c r="BC526" s="3"/>
      <c r="BD526" s="3"/>
      <c r="BE526" s="3"/>
      <c r="BF526" s="3"/>
      <c r="BG526" s="3"/>
      <c r="BH526" s="3"/>
      <c r="BI526" s="3"/>
      <c r="BJ526" s="3"/>
      <c r="BK526" s="3"/>
      <c r="BL526" s="3"/>
      <c r="BM526" s="3"/>
      <c r="BN526" s="3" t="s">
        <v>2431</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05" customHeight="1">
      <c r="B527" s="1729"/>
      <c r="C527" s="1469"/>
      <c r="D527" s="1469"/>
      <c r="E527" s="1469"/>
      <c r="F527" s="1469"/>
      <c r="G527" s="1469"/>
      <c r="H527" s="1470"/>
      <c r="I527" t="s">
        <v>422</v>
      </c>
      <c r="AC527" s="1713" t="s">
        <v>599</v>
      </c>
      <c r="AD527" s="1642"/>
      <c r="AE527" s="1642"/>
      <c r="AF527" s="1642"/>
      <c r="AG527" s="13" t="s">
        <v>404</v>
      </c>
      <c r="AH527" s="1560"/>
      <c r="AI527" s="1560"/>
      <c r="AJ527" s="1560"/>
      <c r="AK527" s="1561"/>
      <c r="AZ527" s="3"/>
      <c r="BA527" s="3"/>
      <c r="BB527" s="3"/>
      <c r="BC527" s="3"/>
      <c r="BD527" s="3"/>
      <c r="BE527" s="3"/>
      <c r="BF527" s="3"/>
      <c r="BG527" s="3"/>
      <c r="BH527" s="3"/>
      <c r="BI527" s="3"/>
      <c r="BJ527" s="3"/>
      <c r="BK527" s="3"/>
      <c r="BL527" s="3"/>
      <c r="BM527" s="3"/>
      <c r="BN527" s="3" t="s">
        <v>2432</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05" customHeight="1">
      <c r="B528" s="1729"/>
      <c r="C528" s="1469"/>
      <c r="D528" s="1469"/>
      <c r="E528" s="1469"/>
      <c r="F528" s="1469"/>
      <c r="G528" s="1469"/>
      <c r="H528" s="1470"/>
      <c r="I528" s="48" t="s">
        <v>423</v>
      </c>
      <c r="J528" s="48"/>
      <c r="K528" s="48"/>
      <c r="L528" s="48"/>
      <c r="M528" s="48"/>
      <c r="N528" s="48"/>
      <c r="O528" s="48"/>
      <c r="P528" s="48"/>
      <c r="Q528" s="48"/>
      <c r="R528" s="48"/>
      <c r="S528" s="48"/>
      <c r="T528" s="48"/>
      <c r="U528" s="48"/>
      <c r="V528" s="48"/>
      <c r="W528" s="48"/>
      <c r="X528" s="48"/>
      <c r="Y528" s="48"/>
      <c r="Z528" s="48"/>
      <c r="AA528" s="48"/>
      <c r="AB528" s="48"/>
      <c r="AC528" s="1713" t="s">
        <v>599</v>
      </c>
      <c r="AD528" s="1642"/>
      <c r="AE528" s="1642"/>
      <c r="AF528" s="1642"/>
      <c r="AG528" s="38" t="s">
        <v>404</v>
      </c>
      <c r="AH528" s="1560"/>
      <c r="AI528" s="1560"/>
      <c r="AJ528" s="1560"/>
      <c r="AK528" s="1561"/>
      <c r="AZ528" s="3"/>
      <c r="BA528" s="3"/>
      <c r="BB528" s="3"/>
      <c r="BC528" s="3"/>
      <c r="BD528" s="3"/>
      <c r="BE528" s="3"/>
      <c r="BF528" s="3"/>
      <c r="BG528" s="3"/>
      <c r="BH528" s="3"/>
      <c r="BI528" s="3"/>
      <c r="BJ528" s="3"/>
      <c r="BK528" s="3"/>
      <c r="BL528" s="3"/>
      <c r="BM528" s="3"/>
      <c r="BN528" s="3" t="s">
        <v>2433</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05" customHeight="1">
      <c r="B529" s="1729"/>
      <c r="C529" s="1469"/>
      <c r="D529" s="1469"/>
      <c r="E529" s="1469"/>
      <c r="F529" s="1469"/>
      <c r="G529" s="1469"/>
      <c r="H529" s="1470"/>
      <c r="I529" s="42" t="s">
        <v>424</v>
      </c>
      <c r="J529" s="42"/>
      <c r="K529" s="42"/>
      <c r="L529" s="42"/>
      <c r="M529" s="42"/>
      <c r="N529" s="42"/>
      <c r="O529" s="1731" t="s">
        <v>335</v>
      </c>
      <c r="P529" s="1732"/>
      <c r="Q529" s="1732"/>
      <c r="R529" s="1732"/>
      <c r="S529" s="1732"/>
      <c r="T529" s="1732"/>
      <c r="U529" s="1732"/>
      <c r="V529" s="1732"/>
      <c r="W529" s="1732"/>
      <c r="X529" s="1732"/>
      <c r="Y529" s="1732"/>
      <c r="Z529" s="1732"/>
      <c r="AA529" s="1732"/>
      <c r="AC529" s="1713" t="s">
        <v>599</v>
      </c>
      <c r="AD529" s="1642"/>
      <c r="AE529" s="1642"/>
      <c r="AF529" s="1642"/>
      <c r="AG529" s="13" t="s">
        <v>404</v>
      </c>
      <c r="AH529" s="1560"/>
      <c r="AI529" s="1560"/>
      <c r="AJ529" s="1560"/>
      <c r="AK529" s="1561"/>
      <c r="AZ529" s="3"/>
      <c r="BA529" s="3"/>
      <c r="BB529" s="3"/>
      <c r="BC529" s="3"/>
      <c r="BD529" s="3"/>
      <c r="BE529" s="3"/>
      <c r="BF529" s="3"/>
      <c r="BG529" s="3"/>
      <c r="BH529" s="3"/>
      <c r="BI529" s="3"/>
      <c r="BJ529" s="3"/>
      <c r="BK529" s="3"/>
      <c r="BL529" s="3"/>
      <c r="BM529" s="3"/>
      <c r="BN529" s="3" t="s">
        <v>2434</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05" customHeight="1">
      <c r="B530" s="1729"/>
      <c r="C530" s="1469"/>
      <c r="D530" s="1469"/>
      <c r="E530" s="1469"/>
      <c r="F530" s="1469"/>
      <c r="G530" s="1469"/>
      <c r="H530" s="1470"/>
      <c r="I530" t="s">
        <v>422</v>
      </c>
      <c r="AC530" s="1713" t="s">
        <v>599</v>
      </c>
      <c r="AD530" s="1642"/>
      <c r="AE530" s="1642"/>
      <c r="AF530" s="1642"/>
      <c r="AG530" s="13" t="s">
        <v>404</v>
      </c>
      <c r="AH530" s="1560"/>
      <c r="AI530" s="1560"/>
      <c r="AJ530" s="1560"/>
      <c r="AK530" s="1561"/>
      <c r="AZ530" s="3"/>
      <c r="BA530" s="3"/>
      <c r="BB530" s="3"/>
      <c r="BC530" s="3"/>
      <c r="BD530" s="3"/>
      <c r="BE530" s="3"/>
      <c r="BF530" s="3"/>
      <c r="BG530" s="3"/>
      <c r="BH530" s="3"/>
      <c r="BI530" s="3"/>
      <c r="BJ530" s="3"/>
      <c r="BK530" s="3"/>
      <c r="BL530" s="3"/>
      <c r="BM530" s="3"/>
      <c r="BN530" s="3" t="s">
        <v>2435</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05" customHeight="1">
      <c r="B531" s="1729"/>
      <c r="C531" s="1469"/>
      <c r="D531" s="1469"/>
      <c r="E531" s="1469"/>
      <c r="F531" s="1469"/>
      <c r="G531" s="1469"/>
      <c r="H531" s="1470"/>
      <c r="I531" s="48" t="s">
        <v>423</v>
      </c>
      <c r="J531" s="48"/>
      <c r="K531" s="48"/>
      <c r="L531" s="48"/>
      <c r="M531" s="48"/>
      <c r="N531" s="48"/>
      <c r="O531" s="48"/>
      <c r="P531" s="48"/>
      <c r="Q531" s="48"/>
      <c r="R531" s="48"/>
      <c r="S531" s="48"/>
      <c r="T531" s="48"/>
      <c r="U531" s="48"/>
      <c r="V531" s="48"/>
      <c r="W531" s="48"/>
      <c r="X531" s="48"/>
      <c r="Y531" s="48"/>
      <c r="Z531" s="48"/>
      <c r="AA531" s="48"/>
      <c r="AB531" s="48"/>
      <c r="AC531" s="1713" t="s">
        <v>599</v>
      </c>
      <c r="AD531" s="1642"/>
      <c r="AE531" s="1642"/>
      <c r="AF531" s="1642"/>
      <c r="AG531" s="38" t="s">
        <v>404</v>
      </c>
      <c r="AH531" s="1560"/>
      <c r="AI531" s="1560"/>
      <c r="AJ531" s="1560"/>
      <c r="AK531" s="1561"/>
      <c r="AZ531" s="3"/>
      <c r="BA531" s="3"/>
      <c r="BB531" s="3"/>
      <c r="BC531" s="3"/>
      <c r="BD531" s="3"/>
      <c r="BE531" s="3"/>
      <c r="BF531" s="3"/>
      <c r="BG531" s="3"/>
      <c r="BH531" s="3"/>
      <c r="BI531" s="3"/>
      <c r="BJ531" s="3"/>
      <c r="BK531" s="3"/>
      <c r="BL531" s="3"/>
      <c r="BM531" s="3"/>
      <c r="BN531" s="3" t="s">
        <v>2436</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05" customHeight="1">
      <c r="B532" s="1729"/>
      <c r="C532" s="1469"/>
      <c r="D532" s="1469"/>
      <c r="E532" s="1469"/>
      <c r="F532" s="1469"/>
      <c r="G532" s="1469"/>
      <c r="H532" s="1470"/>
      <c r="I532" s="42" t="s">
        <v>424</v>
      </c>
      <c r="J532" s="42"/>
      <c r="K532" s="42"/>
      <c r="L532" s="42"/>
      <c r="M532" s="42"/>
      <c r="N532" s="42"/>
      <c r="O532" s="1731" t="s">
        <v>335</v>
      </c>
      <c r="P532" s="1732"/>
      <c r="Q532" s="1732"/>
      <c r="R532" s="1732"/>
      <c r="S532" s="1732"/>
      <c r="T532" s="1732"/>
      <c r="U532" s="1732"/>
      <c r="V532" s="1732"/>
      <c r="W532" s="1732"/>
      <c r="X532" s="1732"/>
      <c r="Y532" s="1732"/>
      <c r="Z532" s="1732"/>
      <c r="AA532" s="1732"/>
      <c r="AC532" s="1713" t="s">
        <v>599</v>
      </c>
      <c r="AD532" s="1642"/>
      <c r="AE532" s="1642"/>
      <c r="AF532" s="1642"/>
      <c r="AG532" s="13" t="s">
        <v>404</v>
      </c>
      <c r="AH532" s="1560"/>
      <c r="AI532" s="1560"/>
      <c r="AJ532" s="1560"/>
      <c r="AK532" s="1561"/>
      <c r="AZ532" s="3"/>
      <c r="BA532" s="3"/>
      <c r="BB532" s="3"/>
      <c r="BC532" s="3"/>
      <c r="BD532" s="3"/>
      <c r="BE532" s="3"/>
      <c r="BF532" s="3"/>
      <c r="BG532" s="3"/>
      <c r="BH532" s="3"/>
      <c r="BI532" s="3"/>
      <c r="BJ532" s="3"/>
      <c r="BK532" s="3"/>
      <c r="BL532" s="3"/>
      <c r="BM532" s="3"/>
      <c r="BN532" s="3" t="s">
        <v>2437</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05" customHeight="1">
      <c r="B533" s="1729"/>
      <c r="C533" s="1469"/>
      <c r="D533" s="1469"/>
      <c r="E533" s="1469"/>
      <c r="F533" s="1469"/>
      <c r="G533" s="1469"/>
      <c r="H533" s="1470"/>
      <c r="I533" t="s">
        <v>422</v>
      </c>
      <c r="AC533" s="1713" t="s">
        <v>599</v>
      </c>
      <c r="AD533" s="1642"/>
      <c r="AE533" s="1642"/>
      <c r="AF533" s="1642"/>
      <c r="AG533" s="38" t="s">
        <v>404</v>
      </c>
      <c r="AH533" s="1560"/>
      <c r="AI533" s="1560"/>
      <c r="AJ533" s="1560"/>
      <c r="AK533" s="1561"/>
      <c r="AZ533" s="3"/>
      <c r="BA533" s="3"/>
      <c r="BB533" s="3"/>
      <c r="BC533" s="3"/>
      <c r="BD533" s="3"/>
      <c r="BE533" s="3"/>
      <c r="BF533" s="3"/>
      <c r="BG533" s="3"/>
      <c r="BH533" s="3"/>
      <c r="BI533" s="3"/>
      <c r="BJ533" s="3"/>
      <c r="BK533" s="3"/>
      <c r="BL533" s="3"/>
      <c r="BM533" s="3"/>
      <c r="BN533" s="3" t="s">
        <v>2438</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05" customHeight="1">
      <c r="B534" s="1729"/>
      <c r="C534" s="1469"/>
      <c r="D534" s="1469"/>
      <c r="E534" s="1469"/>
      <c r="F534" s="1469"/>
      <c r="G534" s="1469"/>
      <c r="H534" s="1470"/>
      <c r="I534" s="48" t="s">
        <v>423</v>
      </c>
      <c r="J534" s="48"/>
      <c r="K534" s="48"/>
      <c r="L534" s="48"/>
      <c r="M534" s="48"/>
      <c r="N534" s="48"/>
      <c r="O534" s="48"/>
      <c r="P534" s="48"/>
      <c r="Q534" s="48"/>
      <c r="R534" s="48"/>
      <c r="S534" s="48"/>
      <c r="T534" s="48"/>
      <c r="U534" s="48"/>
      <c r="V534" s="48"/>
      <c r="W534" s="48"/>
      <c r="X534" s="48"/>
      <c r="Y534" s="48"/>
      <c r="Z534" s="48"/>
      <c r="AA534" s="48"/>
      <c r="AB534" s="48"/>
      <c r="AC534" s="1713" t="s">
        <v>599</v>
      </c>
      <c r="AD534" s="1642"/>
      <c r="AE534" s="1642"/>
      <c r="AF534" s="1642"/>
      <c r="AG534" s="13" t="s">
        <v>404</v>
      </c>
      <c r="AH534" s="1560"/>
      <c r="AI534" s="1560"/>
      <c r="AJ534" s="1560"/>
      <c r="AK534" s="1561"/>
      <c r="AZ534" s="3"/>
      <c r="BA534" s="3"/>
      <c r="BB534" s="3"/>
      <c r="BC534" s="3"/>
      <c r="BD534" s="3"/>
      <c r="BE534" s="3"/>
      <c r="BF534" s="3"/>
      <c r="BG534" s="3"/>
      <c r="BH534" s="3"/>
      <c r="BI534" s="3"/>
      <c r="BJ534" s="3"/>
      <c r="BK534" s="3"/>
      <c r="BL534" s="3"/>
      <c r="BM534" s="3"/>
      <c r="BN534" s="3" t="s">
        <v>2439</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05" customHeight="1">
      <c r="B535" s="1729"/>
      <c r="C535" s="1469"/>
      <c r="D535" s="1469"/>
      <c r="E535" s="1469"/>
      <c r="F535" s="1469"/>
      <c r="G535" s="1469"/>
      <c r="H535" s="1470"/>
      <c r="I535" s="42" t="s">
        <v>424</v>
      </c>
      <c r="J535" s="42"/>
      <c r="K535" s="42"/>
      <c r="L535" s="42"/>
      <c r="M535" s="42"/>
      <c r="N535" s="42"/>
      <c r="O535" s="1731" t="s">
        <v>335</v>
      </c>
      <c r="P535" s="1732"/>
      <c r="Q535" s="1732"/>
      <c r="R535" s="1732"/>
      <c r="S535" s="1732"/>
      <c r="T535" s="1732"/>
      <c r="U535" s="1732"/>
      <c r="V535" s="1732"/>
      <c r="W535" s="1732"/>
      <c r="X535" s="1732"/>
      <c r="Y535" s="1732"/>
      <c r="Z535" s="1732"/>
      <c r="AA535" s="1732"/>
      <c r="AC535" s="1713" t="s">
        <v>599</v>
      </c>
      <c r="AD535" s="1642"/>
      <c r="AE535" s="1642"/>
      <c r="AF535" s="1642"/>
      <c r="AG535" s="38" t="s">
        <v>404</v>
      </c>
      <c r="AH535" s="1560"/>
      <c r="AI535" s="1560"/>
      <c r="AJ535" s="1560"/>
      <c r="AK535" s="1561"/>
      <c r="AZ535" s="3"/>
      <c r="BA535" s="3"/>
      <c r="BB535" s="3"/>
      <c r="BC535" s="3"/>
      <c r="BD535" s="3"/>
      <c r="BE535" s="3"/>
      <c r="BF535" s="3"/>
      <c r="BG535" s="3"/>
      <c r="BH535" s="3"/>
      <c r="BI535" s="3"/>
      <c r="BJ535" s="3"/>
      <c r="BK535" s="3"/>
      <c r="BL535" s="3"/>
      <c r="BM535" s="3"/>
      <c r="BN535" s="3" t="s">
        <v>2440</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05" customHeight="1">
      <c r="B536" s="1729"/>
      <c r="C536" s="1469"/>
      <c r="D536" s="1469"/>
      <c r="E536" s="1469"/>
      <c r="F536" s="1469"/>
      <c r="G536" s="1469"/>
      <c r="H536" s="1470"/>
      <c r="I536" t="s">
        <v>422</v>
      </c>
      <c r="AC536" s="1713" t="s">
        <v>599</v>
      </c>
      <c r="AD536" s="1642"/>
      <c r="AE536" s="1642"/>
      <c r="AF536" s="1642"/>
      <c r="AG536" s="13" t="s">
        <v>404</v>
      </c>
      <c r="AH536" s="1560"/>
      <c r="AI536" s="1560"/>
      <c r="AJ536" s="1560"/>
      <c r="AK536" s="1561"/>
      <c r="AZ536" s="3"/>
      <c r="BA536" s="3"/>
      <c r="BB536" s="3"/>
      <c r="BC536" s="3"/>
      <c r="BD536" s="3"/>
      <c r="BE536" s="3"/>
      <c r="BF536" s="3"/>
      <c r="BG536" s="3"/>
      <c r="BH536" s="3"/>
      <c r="BI536" s="3"/>
      <c r="BJ536" s="3"/>
      <c r="BK536" s="3"/>
      <c r="BL536" s="3"/>
      <c r="BM536" s="3"/>
      <c r="BN536" s="3" t="s">
        <v>2441</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05" customHeight="1">
      <c r="B537" s="1729"/>
      <c r="C537" s="1469"/>
      <c r="D537" s="1469"/>
      <c r="E537" s="1469"/>
      <c r="F537" s="1469"/>
      <c r="G537" s="1469"/>
      <c r="H537" s="1470"/>
      <c r="I537" s="48" t="s">
        <v>423</v>
      </c>
      <c r="J537" s="48"/>
      <c r="K537" s="48"/>
      <c r="L537" s="48"/>
      <c r="M537" s="48"/>
      <c r="N537" s="48"/>
      <c r="O537" s="48"/>
      <c r="P537" s="48"/>
      <c r="Q537" s="48"/>
      <c r="R537" s="48"/>
      <c r="S537" s="48"/>
      <c r="T537" s="48"/>
      <c r="U537" s="48"/>
      <c r="V537" s="48"/>
      <c r="W537" s="48"/>
      <c r="X537" s="48"/>
      <c r="Y537" s="48"/>
      <c r="Z537" s="48"/>
      <c r="AA537" s="48"/>
      <c r="AB537" s="48"/>
      <c r="AC537" s="1713" t="s">
        <v>599</v>
      </c>
      <c r="AD537" s="1642"/>
      <c r="AE537" s="1642"/>
      <c r="AF537" s="1642"/>
      <c r="AG537" s="38" t="s">
        <v>404</v>
      </c>
      <c r="AH537" s="1560"/>
      <c r="AI537" s="1560"/>
      <c r="AJ537" s="1560"/>
      <c r="AK537" s="1561"/>
      <c r="AZ537" s="3"/>
      <c r="BA537" s="3"/>
      <c r="BB537" s="3"/>
      <c r="BC537" s="3"/>
      <c r="BD537" s="3"/>
      <c r="BE537" s="3"/>
      <c r="BF537" s="3"/>
      <c r="BG537" s="3"/>
      <c r="BH537" s="3"/>
      <c r="BI537" s="3"/>
      <c r="BJ537" s="3"/>
      <c r="BK537" s="3"/>
      <c r="BL537" s="3"/>
      <c r="BM537" s="3"/>
      <c r="BN537" s="3" t="s">
        <v>2442</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05" customHeight="1">
      <c r="B538" s="1729"/>
      <c r="C538" s="1469"/>
      <c r="D538" s="1469"/>
      <c r="E538" s="1469"/>
      <c r="F538" s="1469"/>
      <c r="G538" s="1469"/>
      <c r="H538" s="1470"/>
      <c r="I538" s="42" t="s">
        <v>570</v>
      </c>
      <c r="J538" s="42"/>
      <c r="K538" s="42"/>
      <c r="L538" s="42"/>
      <c r="M538" s="42"/>
      <c r="N538" s="42"/>
      <c r="O538" s="42"/>
      <c r="P538" s="42"/>
      <c r="Q538" s="42"/>
      <c r="R538" s="42"/>
      <c r="S538" s="42"/>
      <c r="T538" s="42"/>
      <c r="U538" s="42"/>
      <c r="V538" s="42"/>
      <c r="W538" s="42"/>
      <c r="AC538" s="1713" t="s">
        <v>599</v>
      </c>
      <c r="AD538" s="1642"/>
      <c r="AE538" s="1642"/>
      <c r="AF538" s="1642"/>
      <c r="AG538" s="38" t="s">
        <v>404</v>
      </c>
      <c r="AH538" s="1560"/>
      <c r="AI538" s="1560"/>
      <c r="AJ538" s="1560"/>
      <c r="AK538" s="1561"/>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05" customHeight="1">
      <c r="B539" s="1729"/>
      <c r="C539" s="1469"/>
      <c r="D539" s="1469"/>
      <c r="E539" s="1469"/>
      <c r="F539" s="1469"/>
      <c r="G539" s="1469"/>
      <c r="H539" s="1470"/>
      <c r="I539" t="s">
        <v>571</v>
      </c>
      <c r="AC539" s="1713">
        <v>6</v>
      </c>
      <c r="AD539" s="1642"/>
      <c r="AE539" s="1642"/>
      <c r="AF539" s="1642"/>
      <c r="AG539" s="13" t="s">
        <v>404</v>
      </c>
      <c r="AH539" s="1560">
        <v>2025</v>
      </c>
      <c r="AI539" s="1560"/>
      <c r="AJ539" s="1560"/>
      <c r="AK539" s="1561"/>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05" customHeight="1">
      <c r="B540" s="1729"/>
      <c r="C540" s="1469"/>
      <c r="D540" s="1469"/>
      <c r="E540" s="1469"/>
      <c r="F540" s="1469"/>
      <c r="G540" s="1469"/>
      <c r="H540" s="1470"/>
      <c r="I540" t="s">
        <v>572</v>
      </c>
      <c r="AC540" s="1713">
        <v>3</v>
      </c>
      <c r="AD540" s="1642"/>
      <c r="AE540" s="1642"/>
      <c r="AF540" s="1642"/>
      <c r="AG540" s="38" t="s">
        <v>404</v>
      </c>
      <c r="AH540" s="1560">
        <v>2027</v>
      </c>
      <c r="AI540" s="1560"/>
      <c r="AJ540" s="1560"/>
      <c r="AK540" s="1561"/>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05" customHeight="1">
      <c r="B541" s="1729"/>
      <c r="C541" s="1469"/>
      <c r="D541" s="1469"/>
      <c r="E541" s="1469"/>
      <c r="F541" s="1469"/>
      <c r="G541" s="1469"/>
      <c r="H541" s="1470"/>
      <c r="I541" t="s">
        <v>573</v>
      </c>
      <c r="AC541" s="1713">
        <v>3</v>
      </c>
      <c r="AD541" s="1642"/>
      <c r="AE541" s="1642"/>
      <c r="AF541" s="1642"/>
      <c r="AG541" s="38" t="s">
        <v>404</v>
      </c>
      <c r="AH541" s="1560">
        <v>2027</v>
      </c>
      <c r="AI541" s="1560"/>
      <c r="AJ541" s="1560"/>
      <c r="AK541" s="1561"/>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05" customHeight="1">
      <c r="B542" s="1730"/>
      <c r="C542" s="1471"/>
      <c r="D542" s="1471"/>
      <c r="E542" s="1471"/>
      <c r="F542" s="1471"/>
      <c r="G542" s="1471"/>
      <c r="H542" s="1472"/>
      <c r="I542" s="48" t="s">
        <v>459</v>
      </c>
      <c r="J542" s="48"/>
      <c r="K542" s="48"/>
      <c r="L542" s="48"/>
      <c r="M542" s="48"/>
      <c r="N542" s="48"/>
      <c r="O542" s="48"/>
      <c r="P542" s="48"/>
      <c r="Q542" s="48"/>
      <c r="R542" s="48"/>
      <c r="S542" s="48"/>
      <c r="T542" s="48"/>
      <c r="U542" s="48"/>
      <c r="V542" s="48"/>
      <c r="W542" s="48"/>
      <c r="X542" s="48"/>
      <c r="Y542" s="48"/>
      <c r="Z542" s="48"/>
      <c r="AA542" s="48"/>
      <c r="AB542" s="48"/>
      <c r="AC542" s="1713">
        <v>6</v>
      </c>
      <c r="AD542" s="1642"/>
      <c r="AE542" s="1642"/>
      <c r="AF542" s="1642"/>
      <c r="AG542" s="38" t="s">
        <v>404</v>
      </c>
      <c r="AH542" s="1560">
        <v>2027</v>
      </c>
      <c r="AI542" s="1560"/>
      <c r="AJ542" s="1560"/>
      <c r="AK542" s="1561"/>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0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05" customHeight="1">
      <c r="A544" s="1266" t="s">
        <v>551</v>
      </c>
      <c r="B544" s="1266"/>
      <c r="C544" s="1266"/>
      <c r="D544" s="1266"/>
      <c r="E544" s="1266"/>
      <c r="F544" s="1266"/>
      <c r="G544" s="1266"/>
      <c r="H544" s="1266"/>
      <c r="I544" s="1266"/>
      <c r="J544" s="1266"/>
      <c r="K544" s="1266"/>
      <c r="L544" s="1266"/>
      <c r="M544" s="1266"/>
      <c r="N544" s="1266"/>
      <c r="O544" s="1266"/>
      <c r="P544" s="1266"/>
      <c r="Q544" s="1266"/>
      <c r="R544" s="1266"/>
      <c r="S544" s="1266"/>
      <c r="T544" s="1266"/>
      <c r="U544" s="1266"/>
      <c r="V544" s="1266"/>
      <c r="W544" s="1266"/>
      <c r="X544" s="1266"/>
      <c r="Y544" s="1266"/>
      <c r="Z544" s="1266"/>
      <c r="AA544" s="1266"/>
      <c r="AB544" s="1266"/>
      <c r="AC544" s="1266"/>
      <c r="AD544" s="1266"/>
      <c r="AE544" s="1266"/>
      <c r="AF544" s="1266"/>
      <c r="AG544" s="1266"/>
      <c r="AH544" s="1266"/>
      <c r="AI544" s="1266"/>
      <c r="AJ544" s="1266"/>
      <c r="AK544" s="1266"/>
      <c r="AL544" s="1266"/>
      <c r="AM544" s="1266"/>
      <c r="AN544" s="1266"/>
      <c r="AO544" s="1266"/>
      <c r="AP544" s="1266"/>
      <c r="AQ544" s="1266"/>
      <c r="AR544" s="1266"/>
      <c r="AS544" s="1266"/>
      <c r="AT544" s="1266"/>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05" customHeight="1">
      <c r="A545" s="1266"/>
      <c r="B545" s="1266"/>
      <c r="C545" s="1266"/>
      <c r="D545" s="1266"/>
      <c r="E545" s="1266"/>
      <c r="F545" s="1266"/>
      <c r="G545" s="1266"/>
      <c r="H545" s="1266"/>
      <c r="I545" s="1266"/>
      <c r="J545" s="1266"/>
      <c r="K545" s="1266"/>
      <c r="L545" s="1266"/>
      <c r="M545" s="1266"/>
      <c r="N545" s="1266"/>
      <c r="O545" s="1266"/>
      <c r="P545" s="1266"/>
      <c r="Q545" s="1266"/>
      <c r="R545" s="1266"/>
      <c r="S545" s="1266"/>
      <c r="T545" s="1266"/>
      <c r="U545" s="1266"/>
      <c r="V545" s="1266"/>
      <c r="W545" s="1266"/>
      <c r="X545" s="1266"/>
      <c r="Y545" s="1266"/>
      <c r="Z545" s="1266"/>
      <c r="AA545" s="1266"/>
      <c r="AB545" s="1266"/>
      <c r="AC545" s="1266"/>
      <c r="AD545" s="1266"/>
      <c r="AE545" s="1266"/>
      <c r="AF545" s="1266"/>
      <c r="AG545" s="1266"/>
      <c r="AH545" s="1266"/>
      <c r="AI545" s="1266"/>
      <c r="AJ545" s="1266"/>
      <c r="AK545" s="1266"/>
      <c r="AL545" s="1266"/>
      <c r="AM545" s="1266"/>
      <c r="AN545" s="1266"/>
      <c r="AO545" s="1266"/>
      <c r="AP545" s="1266"/>
      <c r="AQ545" s="1266"/>
      <c r="AR545" s="1266"/>
      <c r="AS545" s="1266"/>
      <c r="AT545" s="1266"/>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0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0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0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05" customHeight="1">
      <c r="A549" s="2"/>
      <c r="B549" s="2"/>
      <c r="C549" s="2"/>
      <c r="D549" s="2" t="s">
        <v>2414</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05" customHeight="1">
      <c r="B550" s="546"/>
      <c r="BB550" s="3"/>
      <c r="BC550" s="3"/>
      <c r="BD550" s="3"/>
      <c r="BE550" s="3"/>
      <c r="BF550" s="3"/>
      <c r="BG550" s="3"/>
      <c r="BH550" s="3" t="s">
        <v>119</v>
      </c>
      <c r="BI550" s="3">
        <f>N657</f>
        <v>0</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05" customHeight="1">
      <c r="B551" s="1728" t="s">
        <v>2416</v>
      </c>
      <c r="C551" s="1467"/>
      <c r="D551" s="1467"/>
      <c r="E551" s="1467"/>
      <c r="F551" s="1467"/>
      <c r="G551" s="1467"/>
      <c r="H551" s="1467"/>
      <c r="I551" s="1467"/>
      <c r="J551" s="1467"/>
      <c r="K551" s="1467"/>
      <c r="L551" s="1468"/>
      <c r="M551" s="1728" t="s">
        <v>2417</v>
      </c>
      <c r="N551" s="1467"/>
      <c r="O551" s="1467"/>
      <c r="P551" s="1468"/>
      <c r="Q551" s="1728" t="s">
        <v>2443</v>
      </c>
      <c r="R551" s="1467"/>
      <c r="S551" s="1468"/>
      <c r="T551" s="1728" t="s">
        <v>2444</v>
      </c>
      <c r="U551" s="1467"/>
      <c r="V551" s="1468"/>
      <c r="W551" s="1728" t="s">
        <v>461</v>
      </c>
      <c r="X551" s="1467"/>
      <c r="Y551" s="1468"/>
      <c r="Z551" s="1728" t="s">
        <v>2040</v>
      </c>
      <c r="AA551" s="1467"/>
      <c r="AB551" s="1467"/>
      <c r="AC551" s="1467"/>
      <c r="AD551" s="1468"/>
      <c r="AE551" s="1728" t="s">
        <v>1862</v>
      </c>
      <c r="AF551" s="1467"/>
      <c r="AG551" s="1467"/>
      <c r="AH551" s="1468"/>
      <c r="AI551" s="1728" t="s">
        <v>1863</v>
      </c>
      <c r="AJ551" s="1467"/>
      <c r="AK551" s="1467"/>
      <c r="AL551" s="1468"/>
      <c r="AM551" s="1728" t="s">
        <v>462</v>
      </c>
      <c r="AN551" s="1467"/>
      <c r="AO551" s="1467"/>
      <c r="AP551" s="1467"/>
      <c r="AQ551" s="1467"/>
      <c r="AR551" s="1467"/>
      <c r="AS551" s="1468"/>
      <c r="BB551" s="3"/>
      <c r="BC551" s="3"/>
      <c r="BD551" s="3"/>
      <c r="BE551" s="3"/>
      <c r="BF551" s="3"/>
      <c r="BG551" s="3"/>
      <c r="BH551" s="3" t="s">
        <v>589</v>
      </c>
      <c r="BI551" s="3">
        <f>AG657</f>
        <v>0</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05" customHeight="1">
      <c r="B552" s="1729"/>
      <c r="C552" s="1469"/>
      <c r="D552" s="1469"/>
      <c r="E552" s="1469"/>
      <c r="F552" s="1469"/>
      <c r="G552" s="1469"/>
      <c r="H552" s="1469"/>
      <c r="I552" s="1469"/>
      <c r="J552" s="1469"/>
      <c r="K552" s="1469"/>
      <c r="L552" s="1470"/>
      <c r="M552" s="1729"/>
      <c r="N552" s="1469"/>
      <c r="O552" s="1469"/>
      <c r="P552" s="1470"/>
      <c r="Q552" s="1729"/>
      <c r="R552" s="1469"/>
      <c r="S552" s="1470"/>
      <c r="T552" s="1729"/>
      <c r="U552" s="1469"/>
      <c r="V552" s="1470"/>
      <c r="W552" s="1729"/>
      <c r="X552" s="1469"/>
      <c r="Y552" s="1470"/>
      <c r="Z552" s="1729"/>
      <c r="AA552" s="1469"/>
      <c r="AB552" s="1469"/>
      <c r="AC552" s="1469"/>
      <c r="AD552" s="1470"/>
      <c r="AE552" s="1729"/>
      <c r="AF552" s="1469"/>
      <c r="AG552" s="1469"/>
      <c r="AH552" s="1470"/>
      <c r="AI552" s="1729"/>
      <c r="AJ552" s="1469"/>
      <c r="AK552" s="1469"/>
      <c r="AL552" s="1470"/>
      <c r="AM552" s="1729"/>
      <c r="AN552" s="1469"/>
      <c r="AO552" s="1469"/>
      <c r="AP552" s="1469"/>
      <c r="AQ552" s="1469"/>
      <c r="AR552" s="1469"/>
      <c r="AS552" s="147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05" customHeight="1">
      <c r="B553" s="1730"/>
      <c r="C553" s="1471"/>
      <c r="D553" s="1471"/>
      <c r="E553" s="1471"/>
      <c r="F553" s="1471"/>
      <c r="G553" s="1471"/>
      <c r="H553" s="1471"/>
      <c r="I553" s="1471"/>
      <c r="J553" s="1471"/>
      <c r="K553" s="1471"/>
      <c r="L553" s="1472"/>
      <c r="M553" s="1730"/>
      <c r="N553" s="1471"/>
      <c r="O553" s="1471"/>
      <c r="P553" s="1472"/>
      <c r="Q553" s="1730"/>
      <c r="R553" s="1471"/>
      <c r="S553" s="1472"/>
      <c r="T553" s="1730"/>
      <c r="U553" s="1471"/>
      <c r="V553" s="1472"/>
      <c r="W553" s="1730"/>
      <c r="X553" s="1471"/>
      <c r="Y553" s="1472"/>
      <c r="Z553" s="1730"/>
      <c r="AA553" s="1471"/>
      <c r="AB553" s="1471"/>
      <c r="AC553" s="1471"/>
      <c r="AD553" s="1472"/>
      <c r="AE553" s="1730"/>
      <c r="AF553" s="1471"/>
      <c r="AG553" s="1471"/>
      <c r="AH553" s="1472"/>
      <c r="AI553" s="1730"/>
      <c r="AJ553" s="1471"/>
      <c r="AK553" s="1471"/>
      <c r="AL553" s="1472"/>
      <c r="AM553" s="1730"/>
      <c r="AN553" s="1471"/>
      <c r="AO553" s="1471"/>
      <c r="AP553" s="1471"/>
      <c r="AQ553" s="1471"/>
      <c r="AR553" s="1471"/>
      <c r="AS553" s="147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05" customHeight="1">
      <c r="B554" s="51" t="s">
        <v>112</v>
      </c>
      <c r="C554" s="1708" t="s">
        <v>2695</v>
      </c>
      <c r="D554" s="1708"/>
      <c r="E554" s="1708"/>
      <c r="F554" s="1708"/>
      <c r="G554" s="1708"/>
      <c r="H554" s="1708"/>
      <c r="I554" s="1708"/>
      <c r="J554" s="1708"/>
      <c r="K554" s="1708"/>
      <c r="L554" s="1708"/>
      <c r="M554" s="1708" t="s">
        <v>2433</v>
      </c>
      <c r="N554" s="1708"/>
      <c r="O554" s="1708"/>
      <c r="P554" s="1708"/>
      <c r="Q554" s="1444">
        <v>24</v>
      </c>
      <c r="R554" s="1444"/>
      <c r="S554" s="1445"/>
      <c r="T554" s="1443"/>
      <c r="U554" s="1444"/>
      <c r="V554" s="1445"/>
      <c r="W554" s="1446">
        <v>6.25E-2</v>
      </c>
      <c r="X554" s="1447"/>
      <c r="Y554" s="1448"/>
      <c r="Z554" s="1709" t="s">
        <v>2697</v>
      </c>
      <c r="AA554" s="1709"/>
      <c r="AB554" s="1709"/>
      <c r="AC554" s="1709"/>
      <c r="AD554" s="1709"/>
      <c r="AE554" s="1742">
        <v>1</v>
      </c>
      <c r="AF554" s="1743"/>
      <c r="AG554" s="1743"/>
      <c r="AH554" s="1744"/>
      <c r="AI554" s="1738"/>
      <c r="AJ554" s="1739"/>
      <c r="AK554" s="1739"/>
      <c r="AL554" s="1740"/>
      <c r="AM554" s="1458">
        <v>41923146</v>
      </c>
      <c r="AN554" s="1459"/>
      <c r="AO554" s="1459"/>
      <c r="AP554" s="1459"/>
      <c r="AQ554" s="1459"/>
      <c r="AR554" s="1459"/>
      <c r="AS554" s="146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05" customHeight="1">
      <c r="B555" s="52" t="s">
        <v>113</v>
      </c>
      <c r="C555" s="1707" t="s">
        <v>2696</v>
      </c>
      <c r="D555" s="1707"/>
      <c r="E555" s="1707"/>
      <c r="F555" s="1707"/>
      <c r="G555" s="1707"/>
      <c r="H555" s="1707"/>
      <c r="I555" s="1707"/>
      <c r="J555" s="1707"/>
      <c r="K555" s="1707"/>
      <c r="L555" s="1707"/>
      <c r="M555" s="1708" t="s">
        <v>2433</v>
      </c>
      <c r="N555" s="1708"/>
      <c r="O555" s="1708"/>
      <c r="P555" s="1708"/>
      <c r="Q555" s="1443">
        <v>24</v>
      </c>
      <c r="R555" s="1444"/>
      <c r="S555" s="1445"/>
      <c r="T555" s="1443"/>
      <c r="U555" s="1444"/>
      <c r="V555" s="1445"/>
      <c r="W555" s="1446">
        <v>6.7500000000000004E-2</v>
      </c>
      <c r="X555" s="1447"/>
      <c r="Y555" s="1448"/>
      <c r="Z555" s="1709" t="s">
        <v>2697</v>
      </c>
      <c r="AA555" s="1709"/>
      <c r="AB555" s="1709"/>
      <c r="AC555" s="1709"/>
      <c r="AD555" s="1709"/>
      <c r="AE555" s="1742">
        <v>1</v>
      </c>
      <c r="AF555" s="1743"/>
      <c r="AG555" s="1743"/>
      <c r="AH555" s="1744"/>
      <c r="AI555" s="1738"/>
      <c r="AJ555" s="1739"/>
      <c r="AK555" s="1739"/>
      <c r="AL555" s="1740"/>
      <c r="AM555" s="1458">
        <v>23786118</v>
      </c>
      <c r="AN555" s="1459"/>
      <c r="AO555" s="1459"/>
      <c r="AP555" s="1459"/>
      <c r="AQ555" s="1459"/>
      <c r="AR555" s="1459"/>
      <c r="AS555" s="146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05" customHeight="1">
      <c r="B556" s="52" t="s">
        <v>119</v>
      </c>
      <c r="C556" s="1707" t="s">
        <v>2692</v>
      </c>
      <c r="D556" s="1707"/>
      <c r="E556" s="1707"/>
      <c r="F556" s="1707"/>
      <c r="G556" s="1707"/>
      <c r="H556" s="1707"/>
      <c r="I556" s="1707"/>
      <c r="J556" s="1707"/>
      <c r="K556" s="1707"/>
      <c r="L556" s="1707"/>
      <c r="M556" s="1708" t="s">
        <v>2424</v>
      </c>
      <c r="N556" s="1708"/>
      <c r="O556" s="1708"/>
      <c r="P556" s="1708"/>
      <c r="Q556" s="1443"/>
      <c r="R556" s="1444"/>
      <c r="S556" s="1445"/>
      <c r="T556" s="1443"/>
      <c r="U556" s="1444"/>
      <c r="V556" s="1445"/>
      <c r="W556" s="1446"/>
      <c r="X556" s="1447"/>
      <c r="Y556" s="1448"/>
      <c r="Z556" s="1709" t="s">
        <v>1289</v>
      </c>
      <c r="AA556" s="1709"/>
      <c r="AB556" s="1709"/>
      <c r="AC556" s="1709"/>
      <c r="AD556" s="1709"/>
      <c r="AE556" s="1742"/>
      <c r="AF556" s="1743"/>
      <c r="AG556" s="1743"/>
      <c r="AH556" s="1744"/>
      <c r="AI556" s="1738"/>
      <c r="AJ556" s="1739"/>
      <c r="AK556" s="1739"/>
      <c r="AL556" s="1740"/>
      <c r="AM556" s="1458">
        <v>7986653</v>
      </c>
      <c r="AN556" s="1459"/>
      <c r="AO556" s="1459"/>
      <c r="AP556" s="1459"/>
      <c r="AQ556" s="1459"/>
      <c r="AR556" s="1459"/>
      <c r="AS556" s="146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05" customHeight="1">
      <c r="B557" s="52" t="s">
        <v>589</v>
      </c>
      <c r="C557" s="1707" t="s">
        <v>2693</v>
      </c>
      <c r="D557" s="1707"/>
      <c r="E557" s="1707"/>
      <c r="F557" s="1707"/>
      <c r="G557" s="1707"/>
      <c r="H557" s="1707"/>
      <c r="I557" s="1707"/>
      <c r="J557" s="1707"/>
      <c r="K557" s="1707"/>
      <c r="L557" s="1707"/>
      <c r="M557" s="1708" t="s">
        <v>2424</v>
      </c>
      <c r="N557" s="1708"/>
      <c r="O557" s="1708"/>
      <c r="P557" s="1708"/>
      <c r="Q557" s="1443"/>
      <c r="R557" s="1444"/>
      <c r="S557" s="1445"/>
      <c r="T557" s="1443"/>
      <c r="U557" s="1444"/>
      <c r="V557" s="1445"/>
      <c r="W557" s="1446"/>
      <c r="X557" s="1447"/>
      <c r="Y557" s="1448"/>
      <c r="Z557" s="1709" t="s">
        <v>1289</v>
      </c>
      <c r="AA557" s="1709"/>
      <c r="AB557" s="1709"/>
      <c r="AC557" s="1709"/>
      <c r="AD557" s="1709"/>
      <c r="AE557" s="1742"/>
      <c r="AF557" s="1743"/>
      <c r="AG557" s="1743"/>
      <c r="AH557" s="1744"/>
      <c r="AI557" s="1738"/>
      <c r="AJ557" s="1739"/>
      <c r="AK557" s="1739"/>
      <c r="AL557" s="1740"/>
      <c r="AM557" s="1458">
        <v>3631083</v>
      </c>
      <c r="AN557" s="1459"/>
      <c r="AO557" s="1459"/>
      <c r="AP557" s="1459"/>
      <c r="AQ557" s="1459"/>
      <c r="AR557" s="1459"/>
      <c r="AS557" s="146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05" customHeight="1">
      <c r="B558" s="52" t="s">
        <v>771</v>
      </c>
      <c r="C558" s="1707" t="s">
        <v>2694</v>
      </c>
      <c r="D558" s="1707"/>
      <c r="E558" s="1707"/>
      <c r="F558" s="1707"/>
      <c r="G558" s="1707"/>
      <c r="H558" s="1707"/>
      <c r="I558" s="1707"/>
      <c r="J558" s="1707"/>
      <c r="K558" s="1707"/>
      <c r="L558" s="1707"/>
      <c r="M558" s="1708" t="s">
        <v>2419</v>
      </c>
      <c r="N558" s="1708"/>
      <c r="O558" s="1708"/>
      <c r="P558" s="1708"/>
      <c r="Q558" s="1443"/>
      <c r="R558" s="1444"/>
      <c r="S558" s="1445"/>
      <c r="T558" s="1443"/>
      <c r="U558" s="1444"/>
      <c r="V558" s="1445"/>
      <c r="W558" s="1446"/>
      <c r="X558" s="1447"/>
      <c r="Y558" s="1448"/>
      <c r="Z558" s="1709" t="s">
        <v>1289</v>
      </c>
      <c r="AA558" s="1709"/>
      <c r="AB558" s="1709"/>
      <c r="AC558" s="1709"/>
      <c r="AD558" s="1709"/>
      <c r="AE558" s="1742"/>
      <c r="AF558" s="1743"/>
      <c r="AG558" s="1743"/>
      <c r="AH558" s="1744"/>
      <c r="AI558" s="1738"/>
      <c r="AJ558" s="1739"/>
      <c r="AK558" s="1739"/>
      <c r="AL558" s="1740"/>
      <c r="AM558" s="1458">
        <v>9827721</v>
      </c>
      <c r="AN558" s="1459"/>
      <c r="AO558" s="1459"/>
      <c r="AP558" s="1459"/>
      <c r="AQ558" s="1459"/>
      <c r="AR558" s="1459"/>
      <c r="AS558" s="1460"/>
      <c r="AT558" s="1192" t="str">
        <f t="shared" ref="AT558:AT565" si="0">IF(AND(NOT(C557=""),C558="",NOT(C559="")),"!","")</f>
        <v/>
      </c>
      <c r="AU558" s="1191"/>
      <c r="BB558" s="3"/>
      <c r="BC558" s="3"/>
      <c r="BD558" s="3"/>
      <c r="BE558" s="3"/>
      <c r="BF558" s="3"/>
      <c r="BG558" s="3"/>
      <c r="BH558" s="3" t="s">
        <v>771</v>
      </c>
      <c r="BI558" s="3">
        <f>N665</f>
        <v>0</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05" customHeight="1">
      <c r="B559" s="52" t="s">
        <v>592</v>
      </c>
      <c r="C559" s="1707"/>
      <c r="D559" s="1707"/>
      <c r="E559" s="1707"/>
      <c r="F559" s="1707"/>
      <c r="G559" s="1707"/>
      <c r="H559" s="1707"/>
      <c r="I559" s="1707"/>
      <c r="J559" s="1707"/>
      <c r="K559" s="1707"/>
      <c r="L559" s="1707"/>
      <c r="M559" s="1708" t="s">
        <v>1289</v>
      </c>
      <c r="N559" s="1708"/>
      <c r="O559" s="1708"/>
      <c r="P559" s="1708"/>
      <c r="Q559" s="1443"/>
      <c r="R559" s="1444"/>
      <c r="S559" s="1445"/>
      <c r="T559" s="1443"/>
      <c r="U559" s="1444"/>
      <c r="V559" s="1445"/>
      <c r="W559" s="1446"/>
      <c r="X559" s="1447"/>
      <c r="Y559" s="1448"/>
      <c r="Z559" s="1709" t="s">
        <v>1289</v>
      </c>
      <c r="AA559" s="1709"/>
      <c r="AB559" s="1709"/>
      <c r="AC559" s="1709"/>
      <c r="AD559" s="1709"/>
      <c r="AE559" s="1742"/>
      <c r="AF559" s="1743"/>
      <c r="AG559" s="1743"/>
      <c r="AH559" s="1744"/>
      <c r="AI559" s="1738"/>
      <c r="AJ559" s="1739"/>
      <c r="AK559" s="1739"/>
      <c r="AL559" s="1740"/>
      <c r="AM559" s="1458"/>
      <c r="AN559" s="1459"/>
      <c r="AO559" s="1459"/>
      <c r="AP559" s="1459"/>
      <c r="AQ559" s="1459"/>
      <c r="AR559" s="1459"/>
      <c r="AS559" s="1460"/>
      <c r="AT559" s="1192" t="str">
        <f t="shared" si="0"/>
        <v/>
      </c>
      <c r="AU559" s="1191"/>
      <c r="BB559" s="3"/>
      <c r="BC559" s="3"/>
      <c r="BD559" s="3"/>
      <c r="BE559" s="3"/>
      <c r="BF559" s="3"/>
      <c r="BG559" s="3"/>
      <c r="BH559" s="3" t="s">
        <v>592</v>
      </c>
      <c r="BI559" s="3">
        <f>AG665</f>
        <v>0</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05" customHeight="1">
      <c r="B560" s="52" t="s">
        <v>463</v>
      </c>
      <c r="C560" s="1707"/>
      <c r="D560" s="1707"/>
      <c r="E560" s="1707"/>
      <c r="F560" s="1707"/>
      <c r="G560" s="1707"/>
      <c r="H560" s="1707"/>
      <c r="I560" s="1707"/>
      <c r="J560" s="1707"/>
      <c r="K560" s="1707"/>
      <c r="L560" s="1707"/>
      <c r="M560" s="1708" t="s">
        <v>1289</v>
      </c>
      <c r="N560" s="1708"/>
      <c r="O560" s="1708"/>
      <c r="P560" s="1708"/>
      <c r="Q560" s="1443"/>
      <c r="R560" s="1444"/>
      <c r="S560" s="1445"/>
      <c r="T560" s="1443"/>
      <c r="U560" s="1444"/>
      <c r="V560" s="1445"/>
      <c r="W560" s="1446"/>
      <c r="X560" s="1447"/>
      <c r="Y560" s="1448"/>
      <c r="Z560" s="1709" t="s">
        <v>1289</v>
      </c>
      <c r="AA560" s="1709"/>
      <c r="AB560" s="1709"/>
      <c r="AC560" s="1709"/>
      <c r="AD560" s="1709"/>
      <c r="AE560" s="1742"/>
      <c r="AF560" s="1743"/>
      <c r="AG560" s="1743"/>
      <c r="AH560" s="1744"/>
      <c r="AI560" s="1738"/>
      <c r="AJ560" s="1739"/>
      <c r="AK560" s="1739"/>
      <c r="AL560" s="1740"/>
      <c r="AM560" s="1458"/>
      <c r="AN560" s="1459"/>
      <c r="AO560" s="1459"/>
      <c r="AP560" s="1459"/>
      <c r="AQ560" s="1459"/>
      <c r="AR560" s="1459"/>
      <c r="AS560" s="146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05" customHeight="1">
      <c r="B561" s="52" t="s">
        <v>464</v>
      </c>
      <c r="C561" s="1707"/>
      <c r="D561" s="1707"/>
      <c r="E561" s="1707"/>
      <c r="F561" s="1707"/>
      <c r="G561" s="1707"/>
      <c r="H561" s="1707"/>
      <c r="I561" s="1707"/>
      <c r="J561" s="1707"/>
      <c r="K561" s="1707"/>
      <c r="L561" s="1707"/>
      <c r="M561" s="1708" t="s">
        <v>1289</v>
      </c>
      <c r="N561" s="1708"/>
      <c r="O561" s="1708"/>
      <c r="P561" s="1708"/>
      <c r="Q561" s="1443"/>
      <c r="R561" s="1444"/>
      <c r="S561" s="1445"/>
      <c r="T561" s="1443"/>
      <c r="U561" s="1444"/>
      <c r="V561" s="1445"/>
      <c r="W561" s="1446"/>
      <c r="X561" s="1447"/>
      <c r="Y561" s="1448"/>
      <c r="Z561" s="1709" t="s">
        <v>1289</v>
      </c>
      <c r="AA561" s="1709"/>
      <c r="AB561" s="1709"/>
      <c r="AC561" s="1709"/>
      <c r="AD561" s="1709"/>
      <c r="AE561" s="1742"/>
      <c r="AF561" s="1743"/>
      <c r="AG561" s="1743"/>
      <c r="AH561" s="1744"/>
      <c r="AI561" s="1738"/>
      <c r="AJ561" s="1739"/>
      <c r="AK561" s="1739"/>
      <c r="AL561" s="1740"/>
      <c r="AM561" s="1458"/>
      <c r="AN561" s="1459"/>
      <c r="AO561" s="1459"/>
      <c r="AP561" s="1459"/>
      <c r="AQ561" s="1459"/>
      <c r="AR561" s="1459"/>
      <c r="AS561" s="146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05" customHeight="1">
      <c r="B562" s="52" t="s">
        <v>469</v>
      </c>
      <c r="C562" s="1707"/>
      <c r="D562" s="1707"/>
      <c r="E562" s="1707"/>
      <c r="F562" s="1707"/>
      <c r="G562" s="1707"/>
      <c r="H562" s="1707"/>
      <c r="I562" s="1707"/>
      <c r="J562" s="1707"/>
      <c r="K562" s="1707"/>
      <c r="L562" s="1707"/>
      <c r="M562" s="1708" t="s">
        <v>1289</v>
      </c>
      <c r="N562" s="1708"/>
      <c r="O562" s="1708"/>
      <c r="P562" s="1708"/>
      <c r="Q562" s="1443"/>
      <c r="R562" s="1444"/>
      <c r="S562" s="1445"/>
      <c r="T562" s="1443"/>
      <c r="U562" s="1444"/>
      <c r="V562" s="1445"/>
      <c r="W562" s="1446"/>
      <c r="X562" s="1447"/>
      <c r="Y562" s="1448"/>
      <c r="Z562" s="1709" t="s">
        <v>1289</v>
      </c>
      <c r="AA562" s="1709"/>
      <c r="AB562" s="1709"/>
      <c r="AC562" s="1709"/>
      <c r="AD562" s="1709"/>
      <c r="AE562" s="1742"/>
      <c r="AF562" s="1743"/>
      <c r="AG562" s="1743"/>
      <c r="AH562" s="1744"/>
      <c r="AI562" s="1738"/>
      <c r="AJ562" s="1739"/>
      <c r="AK562" s="1739"/>
      <c r="AL562" s="1740"/>
      <c r="AM562" s="1458"/>
      <c r="AN562" s="1459"/>
      <c r="AO562" s="1459"/>
      <c r="AP562" s="1459"/>
      <c r="AQ562" s="1459"/>
      <c r="AR562" s="1459"/>
      <c r="AS562" s="146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05" customHeight="1">
      <c r="B563" s="52" t="s">
        <v>653</v>
      </c>
      <c r="C563" s="1707"/>
      <c r="D563" s="1707"/>
      <c r="E563" s="1707"/>
      <c r="F563" s="1707"/>
      <c r="G563" s="1707"/>
      <c r="H563" s="1707"/>
      <c r="I563" s="1707"/>
      <c r="J563" s="1707"/>
      <c r="K563" s="1707"/>
      <c r="L563" s="1707"/>
      <c r="M563" s="1708" t="s">
        <v>1289</v>
      </c>
      <c r="N563" s="1708"/>
      <c r="O563" s="1708"/>
      <c r="P563" s="1708"/>
      <c r="Q563" s="1443"/>
      <c r="R563" s="1444"/>
      <c r="S563" s="1445"/>
      <c r="T563" s="1443"/>
      <c r="U563" s="1444"/>
      <c r="V563" s="1445"/>
      <c r="W563" s="1446"/>
      <c r="X563" s="1447"/>
      <c r="Y563" s="1448"/>
      <c r="Z563" s="1709" t="s">
        <v>1289</v>
      </c>
      <c r="AA563" s="1709"/>
      <c r="AB563" s="1709"/>
      <c r="AC563" s="1709"/>
      <c r="AD563" s="1709"/>
      <c r="AE563" s="1742"/>
      <c r="AF563" s="1743"/>
      <c r="AG563" s="1743"/>
      <c r="AH563" s="1744"/>
      <c r="AI563" s="1738"/>
      <c r="AJ563" s="1739"/>
      <c r="AK563" s="1739"/>
      <c r="AL563" s="1740"/>
      <c r="AM563" s="1458"/>
      <c r="AN563" s="1459"/>
      <c r="AO563" s="1459"/>
      <c r="AP563" s="1459"/>
      <c r="AQ563" s="1459"/>
      <c r="AR563" s="1459"/>
      <c r="AS563" s="146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05" customHeight="1">
      <c r="B564" s="52" t="s">
        <v>363</v>
      </c>
      <c r="C564" s="1707"/>
      <c r="D564" s="1707"/>
      <c r="E564" s="1707"/>
      <c r="F564" s="1707"/>
      <c r="G564" s="1707"/>
      <c r="H564" s="1707"/>
      <c r="I564" s="1707"/>
      <c r="J564" s="1707"/>
      <c r="K564" s="1707"/>
      <c r="L564" s="1707"/>
      <c r="M564" s="1708" t="s">
        <v>1289</v>
      </c>
      <c r="N564" s="1708"/>
      <c r="O564" s="1708"/>
      <c r="P564" s="1708"/>
      <c r="Q564" s="1443"/>
      <c r="R564" s="1444"/>
      <c r="S564" s="1445"/>
      <c r="T564" s="1443"/>
      <c r="U564" s="1444"/>
      <c r="V564" s="1445"/>
      <c r="W564" s="1446"/>
      <c r="X564" s="1447"/>
      <c r="Y564" s="1448"/>
      <c r="Z564" s="1709" t="s">
        <v>1289</v>
      </c>
      <c r="AA564" s="1709"/>
      <c r="AB564" s="1709"/>
      <c r="AC564" s="1709"/>
      <c r="AD564" s="1709"/>
      <c r="AE564" s="1742"/>
      <c r="AF564" s="1743"/>
      <c r="AG564" s="1743"/>
      <c r="AH564" s="1744"/>
      <c r="AI564" s="1738"/>
      <c r="AJ564" s="1739"/>
      <c r="AK564" s="1739"/>
      <c r="AL564" s="1740"/>
      <c r="AM564" s="1458"/>
      <c r="AN564" s="1459"/>
      <c r="AO564" s="1459"/>
      <c r="AP564" s="1459"/>
      <c r="AQ564" s="1459"/>
      <c r="AR564" s="1459"/>
      <c r="AS564" s="146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05" customHeight="1">
      <c r="B565" s="52" t="s">
        <v>364</v>
      </c>
      <c r="C565" s="1707"/>
      <c r="D565" s="1707"/>
      <c r="E565" s="1707"/>
      <c r="F565" s="1707"/>
      <c r="G565" s="1707"/>
      <c r="H565" s="1707"/>
      <c r="I565" s="1707"/>
      <c r="J565" s="1707"/>
      <c r="K565" s="1707"/>
      <c r="L565" s="1707"/>
      <c r="M565" s="1708" t="s">
        <v>1289</v>
      </c>
      <c r="N565" s="1708"/>
      <c r="O565" s="1708"/>
      <c r="P565" s="1708"/>
      <c r="Q565" s="1443"/>
      <c r="R565" s="1444"/>
      <c r="S565" s="1445"/>
      <c r="T565" s="1443"/>
      <c r="U565" s="1444"/>
      <c r="V565" s="1445"/>
      <c r="W565" s="1446"/>
      <c r="X565" s="1447"/>
      <c r="Y565" s="1448"/>
      <c r="Z565" s="1709" t="s">
        <v>1289</v>
      </c>
      <c r="AA565" s="1709"/>
      <c r="AB565" s="1709"/>
      <c r="AC565" s="1709"/>
      <c r="AD565" s="1709"/>
      <c r="AE565" s="1742"/>
      <c r="AF565" s="1743"/>
      <c r="AG565" s="1743"/>
      <c r="AH565" s="1744"/>
      <c r="AI565" s="1738"/>
      <c r="AJ565" s="1739"/>
      <c r="AK565" s="1739"/>
      <c r="AL565" s="1740"/>
      <c r="AM565" s="1458"/>
      <c r="AN565" s="1459"/>
      <c r="AO565" s="1459"/>
      <c r="AP565" s="1459"/>
      <c r="AQ565" s="1459"/>
      <c r="AR565" s="1459"/>
      <c r="AS565" s="146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05" customHeight="1">
      <c r="B566" s="1376" t="s">
        <v>127</v>
      </c>
      <c r="C566" s="1377"/>
      <c r="D566" s="1377"/>
      <c r="E566" s="1377"/>
      <c r="F566" s="1377"/>
      <c r="G566" s="1377"/>
      <c r="H566" s="1377"/>
      <c r="I566" s="1377"/>
      <c r="J566" s="1377"/>
      <c r="K566" s="1377"/>
      <c r="L566" s="1377"/>
      <c r="M566" s="1377"/>
      <c r="N566" s="1377"/>
      <c r="O566" s="1377"/>
      <c r="P566" s="1377"/>
      <c r="Q566" s="1377"/>
      <c r="R566" s="1377"/>
      <c r="S566" s="1377"/>
      <c r="T566" s="1377"/>
      <c r="U566" s="1624"/>
      <c r="V566" s="1377"/>
      <c r="W566" s="1377"/>
      <c r="X566" s="1377"/>
      <c r="Y566" s="1377"/>
      <c r="Z566" s="1377"/>
      <c r="AA566" s="1377"/>
      <c r="AB566" s="1377"/>
      <c r="AC566" s="1377"/>
      <c r="AD566" s="1377"/>
      <c r="AE566" s="1377"/>
      <c r="AF566" s="1377"/>
      <c r="AG566" s="1377"/>
      <c r="AH566" s="1377"/>
      <c r="AI566" s="1377"/>
      <c r="AJ566" s="1377"/>
      <c r="AK566" s="1377"/>
      <c r="AL566" s="1378"/>
      <c r="AM566" s="1632">
        <f>SUM(AM554:AS565)</f>
        <v>87154721</v>
      </c>
      <c r="AN566" s="1633"/>
      <c r="AO566" s="1633"/>
      <c r="AP566" s="1633"/>
      <c r="AQ566" s="1633"/>
      <c r="AR566" s="1633"/>
      <c r="AS566" s="1634"/>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0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05" customHeight="1">
      <c r="A568" s="55" t="s">
        <v>112</v>
      </c>
      <c r="B568" t="s">
        <v>471</v>
      </c>
      <c r="G568" s="1417" t="str">
        <f>C554</f>
        <v>CITI Construction Loan (Tax- Exempt)</v>
      </c>
      <c r="H568" s="1417"/>
      <c r="I568" s="1417"/>
      <c r="J568" s="1417"/>
      <c r="K568" s="1417"/>
      <c r="L568" s="1417"/>
      <c r="M568" s="1417"/>
      <c r="N568" s="1417"/>
      <c r="O568" s="1417"/>
      <c r="P568" s="1417"/>
      <c r="Q568" s="1417"/>
      <c r="R568" s="1417"/>
      <c r="S568" s="8"/>
      <c r="T568" s="55" t="s">
        <v>113</v>
      </c>
      <c r="U568" t="s">
        <v>471</v>
      </c>
      <c r="Z568" s="1417" t="str">
        <f>C555</f>
        <v>CITI Construction Loan (Taxable)</v>
      </c>
      <c r="AA568" s="1417"/>
      <c r="AB568" s="1417"/>
      <c r="AC568" s="1417"/>
      <c r="AD568" s="1417"/>
      <c r="AE568" s="1417"/>
      <c r="AF568" s="1417"/>
      <c r="AG568" s="1417"/>
      <c r="AH568" s="1417"/>
      <c r="AI568" s="1417"/>
      <c r="AJ568" s="1417"/>
      <c r="AK568" s="141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05" customHeight="1">
      <c r="A569" s="22"/>
      <c r="B569" t="s">
        <v>85</v>
      </c>
      <c r="G569" s="1416" t="s">
        <v>2698</v>
      </c>
      <c r="H569" s="1416"/>
      <c r="I569" s="1416"/>
      <c r="J569" s="1416"/>
      <c r="K569" s="1416"/>
      <c r="L569" s="1416"/>
      <c r="M569" s="1416"/>
      <c r="N569" s="1416"/>
      <c r="O569" s="1416"/>
      <c r="P569" s="1416"/>
      <c r="Q569" s="1416"/>
      <c r="R569" s="1416"/>
      <c r="S569" s="8"/>
      <c r="T569" s="22"/>
      <c r="U569" t="s">
        <v>85</v>
      </c>
      <c r="Z569" s="1416" t="s">
        <v>2698</v>
      </c>
      <c r="AA569" s="1416"/>
      <c r="AB569" s="1416"/>
      <c r="AC569" s="1416"/>
      <c r="AD569" s="1416"/>
      <c r="AE569" s="1416"/>
      <c r="AF569" s="1416"/>
      <c r="AG569" s="1416"/>
      <c r="AH569" s="1416"/>
      <c r="AI569" s="1416"/>
      <c r="AJ569" s="1416"/>
      <c r="AK569" s="141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05" customHeight="1">
      <c r="A570" s="22"/>
      <c r="B570" t="s">
        <v>588</v>
      </c>
      <c r="G570" s="1416" t="s">
        <v>2699</v>
      </c>
      <c r="H570" s="1416"/>
      <c r="I570" s="1416"/>
      <c r="J570" s="1416"/>
      <c r="K570" s="1416"/>
      <c r="L570" s="1416"/>
      <c r="M570" s="1416"/>
      <c r="N570" s="1416"/>
      <c r="O570" s="1416"/>
      <c r="P570" s="1416"/>
      <c r="Q570" s="1416"/>
      <c r="R570" s="1416"/>
      <c r="T570" s="22"/>
      <c r="U570" t="s">
        <v>588</v>
      </c>
      <c r="Z570" s="1411" t="s">
        <v>2699</v>
      </c>
      <c r="AA570" s="1411"/>
      <c r="AB570" s="1411"/>
      <c r="AC570" s="1411"/>
      <c r="AD570" s="1411"/>
      <c r="AE570" s="1411"/>
      <c r="AF570" s="1411"/>
      <c r="AG570" s="1411"/>
      <c r="AH570" s="1411"/>
      <c r="AI570" s="1411"/>
      <c r="AJ570" s="1411"/>
      <c r="AK570" s="141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05" customHeight="1">
      <c r="A571" s="22"/>
      <c r="B571" t="s">
        <v>17</v>
      </c>
      <c r="G571" s="1416" t="s">
        <v>2700</v>
      </c>
      <c r="H571" s="1416"/>
      <c r="I571" s="1416"/>
      <c r="J571" s="1416"/>
      <c r="K571" s="1416"/>
      <c r="L571" s="1416"/>
      <c r="M571" s="1416"/>
      <c r="N571" s="1416"/>
      <c r="O571" s="1416"/>
      <c r="P571" s="1416"/>
      <c r="Q571" s="1416"/>
      <c r="R571" s="1416"/>
      <c r="S571" s="8"/>
      <c r="T571" s="22"/>
      <c r="U571" t="s">
        <v>17</v>
      </c>
      <c r="Z571" s="1411" t="s">
        <v>2700</v>
      </c>
      <c r="AA571" s="1411"/>
      <c r="AB571" s="1411"/>
      <c r="AC571" s="1411"/>
      <c r="AD571" s="1411"/>
      <c r="AE571" s="1411"/>
      <c r="AF571" s="1411"/>
      <c r="AG571" s="1411"/>
      <c r="AH571" s="1411"/>
      <c r="AI571" s="1411"/>
      <c r="AJ571" s="1411"/>
      <c r="AK571" s="141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05" customHeight="1">
      <c r="A572" s="22"/>
      <c r="B572" t="s">
        <v>317</v>
      </c>
      <c r="G572" s="1477">
        <v>2122391914</v>
      </c>
      <c r="H572" s="1477"/>
      <c r="I572" s="1477"/>
      <c r="J572" s="1477"/>
      <c r="K572" s="1477"/>
      <c r="L572" s="1477"/>
      <c r="O572" s="33" t="s">
        <v>207</v>
      </c>
      <c r="P572" s="1441"/>
      <c r="Q572" s="1441"/>
      <c r="R572" s="1441"/>
      <c r="S572" s="10"/>
      <c r="T572" s="22"/>
      <c r="U572" t="s">
        <v>317</v>
      </c>
      <c r="Z572" s="1477">
        <v>2122391914</v>
      </c>
      <c r="AA572" s="1477"/>
      <c r="AB572" s="1477"/>
      <c r="AC572" s="1477"/>
      <c r="AD572" s="1477"/>
      <c r="AE572" s="1477"/>
      <c r="AH572" s="33" t="s">
        <v>207</v>
      </c>
      <c r="AI572" s="1441"/>
      <c r="AJ572" s="1441"/>
      <c r="AK572" s="1441"/>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05" customHeight="1">
      <c r="A573" s="22"/>
      <c r="B573" t="s">
        <v>18</v>
      </c>
      <c r="H573" s="1416" t="s">
        <v>2701</v>
      </c>
      <c r="I573" s="1416"/>
      <c r="J573" s="1416"/>
      <c r="K573" s="1416"/>
      <c r="L573" s="1416"/>
      <c r="M573" s="1416"/>
      <c r="N573" s="1416"/>
      <c r="O573" s="1416"/>
      <c r="P573" s="1416"/>
      <c r="Q573" s="1416"/>
      <c r="R573" s="1416"/>
      <c r="S573" s="8"/>
      <c r="T573" s="22"/>
      <c r="U573" t="s">
        <v>18</v>
      </c>
      <c r="AA573" s="1416" t="s">
        <v>2702</v>
      </c>
      <c r="AB573" s="1416"/>
      <c r="AC573" s="1416"/>
      <c r="AD573" s="1416"/>
      <c r="AE573" s="1416"/>
      <c r="AF573" s="1416"/>
      <c r="AG573" s="1416"/>
      <c r="AH573" s="1416"/>
      <c r="AI573" s="1416"/>
      <c r="AJ573" s="1416"/>
      <c r="AK573" s="141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05" customHeight="1">
      <c r="A574" s="22"/>
      <c r="B574" s="348" t="s">
        <v>1290</v>
      </c>
      <c r="H574" s="8"/>
      <c r="I574" s="8"/>
      <c r="J574" s="8"/>
      <c r="K574" s="8"/>
      <c r="L574" s="8"/>
      <c r="M574" s="1741"/>
      <c r="N574" s="1741"/>
      <c r="O574" s="1741"/>
      <c r="P574" s="1741"/>
      <c r="Q574" s="1741"/>
      <c r="R574" s="1741"/>
      <c r="S574" s="8"/>
      <c r="T574" s="22"/>
      <c r="U574" s="348" t="s">
        <v>1290</v>
      </c>
      <c r="AA574" s="8"/>
      <c r="AB574" s="8"/>
      <c r="AC574" s="8"/>
      <c r="AD574" s="8"/>
      <c r="AE574" s="8"/>
      <c r="AF574" s="1741"/>
      <c r="AG574" s="1741"/>
      <c r="AH574" s="1741"/>
      <c r="AI574" s="1741"/>
      <c r="AJ574" s="1741"/>
      <c r="AK574" s="174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05" customHeight="1">
      <c r="A575" s="22"/>
      <c r="B575" t="s">
        <v>20</v>
      </c>
      <c r="N575" s="1415" t="s">
        <v>553</v>
      </c>
      <c r="O575" s="1415"/>
      <c r="T575" s="22"/>
      <c r="U575" t="s">
        <v>20</v>
      </c>
      <c r="AG575" s="1415" t="s">
        <v>553</v>
      </c>
      <c r="AH575" s="141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0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05" customHeight="1">
      <c r="A577" s="55" t="s">
        <v>119</v>
      </c>
      <c r="B577" t="s">
        <v>471</v>
      </c>
      <c r="G577" s="1417" t="str">
        <f>C556</f>
        <v>Federal LIHTC Equity</v>
      </c>
      <c r="H577" s="1417"/>
      <c r="I577" s="1417"/>
      <c r="J577" s="1417"/>
      <c r="K577" s="1417"/>
      <c r="L577" s="1417"/>
      <c r="M577" s="1417"/>
      <c r="N577" s="1417"/>
      <c r="O577" s="1417"/>
      <c r="P577" s="1417"/>
      <c r="Q577" s="1417"/>
      <c r="R577" s="1417"/>
      <c r="T577" s="55" t="s">
        <v>589</v>
      </c>
      <c r="U577" t="s">
        <v>471</v>
      </c>
      <c r="Z577" s="1417" t="str">
        <f>C557</f>
        <v>State LIHTC Equity</v>
      </c>
      <c r="AA577" s="1417"/>
      <c r="AB577" s="1417"/>
      <c r="AC577" s="1417"/>
      <c r="AD577" s="1417"/>
      <c r="AE577" s="1417"/>
      <c r="AF577" s="1417"/>
      <c r="AG577" s="1417"/>
      <c r="AH577" s="1417"/>
      <c r="AI577" s="1417"/>
      <c r="AJ577" s="1417"/>
      <c r="AK577" s="141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05" customHeight="1">
      <c r="A578" s="22"/>
      <c r="B578" t="s">
        <v>85</v>
      </c>
      <c r="G578" s="1416" t="str">
        <f>+AA312</f>
        <v>401 West A Street, Suite 1830</v>
      </c>
      <c r="H578" s="1416"/>
      <c r="I578" s="1416"/>
      <c r="J578" s="1416"/>
      <c r="K578" s="1416"/>
      <c r="L578" s="1416"/>
      <c r="M578" s="1416"/>
      <c r="N578" s="1416"/>
      <c r="O578" s="1416"/>
      <c r="P578" s="1416"/>
      <c r="Q578" s="1416"/>
      <c r="R578" s="1416"/>
      <c r="T578" s="22"/>
      <c r="U578" t="s">
        <v>85</v>
      </c>
      <c r="Z578" s="1416" t="s">
        <v>2777</v>
      </c>
      <c r="AA578" s="1416"/>
      <c r="AB578" s="1416"/>
      <c r="AC578" s="1416"/>
      <c r="AD578" s="1416"/>
      <c r="AE578" s="1416"/>
      <c r="AF578" s="1416"/>
      <c r="AG578" s="1416"/>
      <c r="AH578" s="1416"/>
      <c r="AI578" s="1416"/>
      <c r="AJ578" s="1416"/>
      <c r="AK578" s="141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05" customHeight="1">
      <c r="A579" s="22"/>
      <c r="B579" t="s">
        <v>588</v>
      </c>
      <c r="G579" s="1411" t="str">
        <f>+AA313</f>
        <v>San Diego, CA 92101</v>
      </c>
      <c r="H579" s="1411"/>
      <c r="I579" s="1411"/>
      <c r="J579" s="1411"/>
      <c r="K579" s="1411"/>
      <c r="L579" s="1411"/>
      <c r="M579" s="1411"/>
      <c r="N579" s="1411"/>
      <c r="O579" s="1411"/>
      <c r="P579" s="1411"/>
      <c r="Q579" s="1411"/>
      <c r="R579" s="1411"/>
      <c r="T579" s="22"/>
      <c r="U579" t="s">
        <v>588</v>
      </c>
      <c r="Z579" s="1411" t="s">
        <v>2778</v>
      </c>
      <c r="AA579" s="1411"/>
      <c r="AB579" s="1411"/>
      <c r="AC579" s="1411"/>
      <c r="AD579" s="1411"/>
      <c r="AE579" s="1411"/>
      <c r="AF579" s="1411"/>
      <c r="AG579" s="1411"/>
      <c r="AH579" s="1411"/>
      <c r="AI579" s="1411"/>
      <c r="AJ579" s="1411"/>
      <c r="AK579" s="141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05" customHeight="1">
      <c r="A580" s="22"/>
      <c r="B580" t="s">
        <v>17</v>
      </c>
      <c r="G580" s="1410" t="s">
        <v>2774</v>
      </c>
      <c r="H580" s="1411"/>
      <c r="I580" s="1411"/>
      <c r="J580" s="1411"/>
      <c r="K580" s="1411"/>
      <c r="L580" s="1411"/>
      <c r="M580" s="1411"/>
      <c r="N580" s="1411"/>
      <c r="O580" s="1411"/>
      <c r="P580" s="1411"/>
      <c r="Q580" s="1411"/>
      <c r="R580" s="1411"/>
      <c r="T580" s="22"/>
      <c r="U580" t="s">
        <v>17</v>
      </c>
      <c r="Z580" s="1411" t="s">
        <v>2774</v>
      </c>
      <c r="AA580" s="1411"/>
      <c r="AB580" s="1411"/>
      <c r="AC580" s="1411"/>
      <c r="AD580" s="1411"/>
      <c r="AE580" s="1411"/>
      <c r="AF580" s="1411"/>
      <c r="AG580" s="1411"/>
      <c r="AH580" s="1411"/>
      <c r="AI580" s="1411"/>
      <c r="AJ580" s="1411"/>
      <c r="AK580" s="141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05" customHeight="1">
      <c r="A581" s="22"/>
      <c r="B581" t="s">
        <v>317</v>
      </c>
      <c r="G581" s="1477">
        <f>+AA315</f>
        <v>8587522066</v>
      </c>
      <c r="H581" s="1477"/>
      <c r="I581" s="1477"/>
      <c r="J581" s="1477"/>
      <c r="K581" s="1477"/>
      <c r="L581" s="1477"/>
      <c r="O581" s="33" t="s">
        <v>207</v>
      </c>
      <c r="P581" s="1441"/>
      <c r="Q581" s="1441"/>
      <c r="R581" s="1441"/>
      <c r="T581" s="22"/>
      <c r="U581" t="s">
        <v>317</v>
      </c>
      <c r="Z581" s="1477">
        <v>8587522066</v>
      </c>
      <c r="AA581" s="1477"/>
      <c r="AB581" s="1477"/>
      <c r="AC581" s="1477"/>
      <c r="AD581" s="1477"/>
      <c r="AE581" s="1477"/>
      <c r="AH581" s="33" t="s">
        <v>207</v>
      </c>
      <c r="AI581" s="1441"/>
      <c r="AJ581" s="1441"/>
      <c r="AK581" s="1441"/>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05" customHeight="1">
      <c r="A582" s="22"/>
      <c r="B582" t="s">
        <v>18</v>
      </c>
      <c r="H582" s="1416" t="s">
        <v>2781</v>
      </c>
      <c r="I582" s="1416"/>
      <c r="J582" s="1416"/>
      <c r="K582" s="1416"/>
      <c r="L582" s="1416"/>
      <c r="M582" s="1416"/>
      <c r="N582" s="1416"/>
      <c r="O582" s="1416"/>
      <c r="P582" s="1416"/>
      <c r="Q582" s="1416"/>
      <c r="R582" s="1416"/>
      <c r="T582" s="22"/>
      <c r="U582" t="s">
        <v>18</v>
      </c>
      <c r="AA582" s="1416" t="s">
        <v>2781</v>
      </c>
      <c r="AB582" s="1416"/>
      <c r="AC582" s="1416"/>
      <c r="AD582" s="1416"/>
      <c r="AE582" s="1416"/>
      <c r="AF582" s="1416"/>
      <c r="AG582" s="1416"/>
      <c r="AH582" s="1416"/>
      <c r="AI582" s="1416"/>
      <c r="AJ582" s="1416"/>
      <c r="AK582" s="141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05" customHeight="1">
      <c r="A583" s="22"/>
      <c r="B583" t="s">
        <v>20</v>
      </c>
      <c r="N583" s="1415" t="s">
        <v>553</v>
      </c>
      <c r="O583" s="1415"/>
      <c r="T583" s="22"/>
      <c r="U583" t="s">
        <v>20</v>
      </c>
      <c r="AG583" s="1415" t="s">
        <v>553</v>
      </c>
      <c r="AH583" s="141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0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05" customHeight="1">
      <c r="A585" s="55" t="s">
        <v>771</v>
      </c>
      <c r="B585" t="s">
        <v>471</v>
      </c>
      <c r="G585" s="1417" t="str">
        <f>C558</f>
        <v>Deferred Costs</v>
      </c>
      <c r="H585" s="1417"/>
      <c r="I585" s="1417"/>
      <c r="J585" s="1417"/>
      <c r="K585" s="1417"/>
      <c r="L585" s="1417"/>
      <c r="M585" s="1417"/>
      <c r="N585" s="1417"/>
      <c r="O585" s="1417"/>
      <c r="P585" s="1417"/>
      <c r="Q585" s="1417"/>
      <c r="R585" s="1417"/>
      <c r="T585" s="55" t="s">
        <v>592</v>
      </c>
      <c r="U585" t="s">
        <v>471</v>
      </c>
      <c r="Z585" s="1417">
        <f>C559</f>
        <v>0</v>
      </c>
      <c r="AA585" s="1417"/>
      <c r="AB585" s="1417"/>
      <c r="AC585" s="1417"/>
      <c r="AD585" s="1417"/>
      <c r="AE585" s="1417"/>
      <c r="AF585" s="1417"/>
      <c r="AG585" s="1417"/>
      <c r="AH585" s="1417"/>
      <c r="AI585" s="1417"/>
      <c r="AJ585" s="1417"/>
      <c r="AK585" s="141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05" customHeight="1">
      <c r="A586" s="22"/>
      <c r="B586" t="s">
        <v>85</v>
      </c>
      <c r="G586" s="1432" t="s">
        <v>2703</v>
      </c>
      <c r="H586" s="1416"/>
      <c r="I586" s="1416"/>
      <c r="J586" s="1416"/>
      <c r="K586" s="1416"/>
      <c r="L586" s="1416"/>
      <c r="M586" s="1416"/>
      <c r="N586" s="1416"/>
      <c r="O586" s="1416"/>
      <c r="P586" s="1416"/>
      <c r="Q586" s="1416"/>
      <c r="R586" s="1416"/>
      <c r="T586" s="22"/>
      <c r="U586" t="s">
        <v>85</v>
      </c>
      <c r="Z586" s="1416"/>
      <c r="AA586" s="1416"/>
      <c r="AB586" s="1416"/>
      <c r="AC586" s="1416"/>
      <c r="AD586" s="1416"/>
      <c r="AE586" s="1416"/>
      <c r="AF586" s="1416"/>
      <c r="AG586" s="1416"/>
      <c r="AH586" s="1416"/>
      <c r="AI586" s="1416"/>
      <c r="AJ586" s="1416"/>
      <c r="AK586" s="141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05" customHeight="1">
      <c r="A587" s="22"/>
      <c r="B587" t="s">
        <v>588</v>
      </c>
      <c r="G587" s="1416" t="s">
        <v>2704</v>
      </c>
      <c r="H587" s="1416"/>
      <c r="I587" s="1416"/>
      <c r="J587" s="1416"/>
      <c r="K587" s="1416"/>
      <c r="L587" s="1416"/>
      <c r="M587" s="1416"/>
      <c r="N587" s="1416"/>
      <c r="O587" s="1416"/>
      <c r="P587" s="1416"/>
      <c r="Q587" s="1416"/>
      <c r="R587" s="1416"/>
      <c r="T587" s="22"/>
      <c r="U587" t="s">
        <v>588</v>
      </c>
      <c r="Z587" s="1411"/>
      <c r="AA587" s="1411"/>
      <c r="AB587" s="1411"/>
      <c r="AC587" s="1411"/>
      <c r="AD587" s="1411"/>
      <c r="AE587" s="1411"/>
      <c r="AF587" s="1411"/>
      <c r="AG587" s="1411"/>
      <c r="AH587" s="1411"/>
      <c r="AI587" s="1411"/>
      <c r="AJ587" s="1411"/>
      <c r="AK587" s="141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05" customHeight="1">
      <c r="A588" s="22"/>
      <c r="B588" t="s">
        <v>17</v>
      </c>
      <c r="G588" s="1416" t="s">
        <v>2690</v>
      </c>
      <c r="H588" s="1416"/>
      <c r="I588" s="1416"/>
      <c r="J588" s="1416"/>
      <c r="K588" s="1416"/>
      <c r="L588" s="1416"/>
      <c r="M588" s="1416"/>
      <c r="N588" s="1416"/>
      <c r="O588" s="1416"/>
      <c r="P588" s="1416"/>
      <c r="Q588" s="1416"/>
      <c r="R588" s="1416"/>
      <c r="T588" s="22"/>
      <c r="U588" t="s">
        <v>17</v>
      </c>
      <c r="Z588" s="1411"/>
      <c r="AA588" s="1411"/>
      <c r="AB588" s="1411"/>
      <c r="AC588" s="1411"/>
      <c r="AD588" s="1411"/>
      <c r="AE588" s="1411"/>
      <c r="AF588" s="1411"/>
      <c r="AG588" s="1411"/>
      <c r="AH588" s="1411"/>
      <c r="AI588" s="1411"/>
      <c r="AJ588" s="1411"/>
      <c r="AK588" s="1411"/>
    </row>
    <row r="589" spans="1:110" ht="13.05" customHeight="1">
      <c r="A589" s="22"/>
      <c r="B589" t="s">
        <v>317</v>
      </c>
      <c r="G589" s="1635" t="s">
        <v>2646</v>
      </c>
      <c r="H589" s="1477"/>
      <c r="I589" s="1477"/>
      <c r="J589" s="1477"/>
      <c r="K589" s="1477"/>
      <c r="L589" s="1477"/>
      <c r="O589" s="33" t="s">
        <v>207</v>
      </c>
      <c r="P589" s="1441"/>
      <c r="Q589" s="1441"/>
      <c r="R589" s="1441"/>
      <c r="T589" s="22"/>
      <c r="U589" t="s">
        <v>317</v>
      </c>
      <c r="Z589" s="1477"/>
      <c r="AA589" s="1477"/>
      <c r="AB589" s="1477"/>
      <c r="AC589" s="1477"/>
      <c r="AD589" s="1477"/>
      <c r="AE589" s="1477"/>
      <c r="AH589" s="33" t="s">
        <v>207</v>
      </c>
      <c r="AI589" s="1441"/>
      <c r="AJ589" s="1441"/>
      <c r="AK589" s="1441"/>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05" customHeight="1">
      <c r="A590" s="22"/>
      <c r="B590" t="s">
        <v>18</v>
      </c>
      <c r="H590" s="1416" t="s">
        <v>2705</v>
      </c>
      <c r="I590" s="1416"/>
      <c r="J590" s="1416"/>
      <c r="K590" s="1416"/>
      <c r="L590" s="1416"/>
      <c r="M590" s="1416"/>
      <c r="N590" s="1416"/>
      <c r="O590" s="1416"/>
      <c r="P590" s="1416"/>
      <c r="Q590" s="1416"/>
      <c r="R590" s="1416"/>
      <c r="T590" s="22"/>
      <c r="U590" t="s">
        <v>18</v>
      </c>
      <c r="AA590" s="1416"/>
      <c r="AB590" s="1416"/>
      <c r="AC590" s="1416"/>
      <c r="AD590" s="1416"/>
      <c r="AE590" s="1416"/>
      <c r="AF590" s="1416"/>
      <c r="AG590" s="1416"/>
      <c r="AH590" s="1416"/>
      <c r="AI590" s="1416"/>
      <c r="AJ590" s="1416"/>
      <c r="AK590" s="141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05" customHeight="1">
      <c r="A591" s="22"/>
      <c r="B591" t="s">
        <v>20</v>
      </c>
      <c r="N591" s="1415" t="s">
        <v>553</v>
      </c>
      <c r="O591" s="1415"/>
      <c r="T591" s="22"/>
      <c r="U591" t="s">
        <v>20</v>
      </c>
      <c r="AG591" s="1415"/>
      <c r="AH591" s="141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0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05" customHeight="1">
      <c r="A593" s="55" t="s">
        <v>463</v>
      </c>
      <c r="B593" t="s">
        <v>471</v>
      </c>
      <c r="G593" s="1417">
        <f>C560</f>
        <v>0</v>
      </c>
      <c r="H593" s="1417"/>
      <c r="I593" s="1417"/>
      <c r="J593" s="1417"/>
      <c r="K593" s="1417"/>
      <c r="L593" s="1417"/>
      <c r="M593" s="1417"/>
      <c r="N593" s="1417"/>
      <c r="O593" s="1417"/>
      <c r="P593" s="1417"/>
      <c r="Q593" s="1417"/>
      <c r="R593" s="1417"/>
      <c r="T593" s="55" t="s">
        <v>464</v>
      </c>
      <c r="U593" t="s">
        <v>471</v>
      </c>
      <c r="Z593" s="1417">
        <f>C561</f>
        <v>0</v>
      </c>
      <c r="AA593" s="1417"/>
      <c r="AB593" s="1417"/>
      <c r="AC593" s="1417"/>
      <c r="AD593" s="1417"/>
      <c r="AE593" s="1417"/>
      <c r="AF593" s="1417"/>
      <c r="AG593" s="1417"/>
      <c r="AH593" s="1417"/>
      <c r="AI593" s="1417"/>
      <c r="AJ593" s="1417"/>
      <c r="AK593" s="141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05" customHeight="1">
      <c r="A594" s="22"/>
      <c r="B594" t="s">
        <v>85</v>
      </c>
      <c r="C594"/>
      <c r="D594"/>
      <c r="E594"/>
      <c r="F594"/>
      <c r="G594" s="1416"/>
      <c r="H594" s="1416"/>
      <c r="I594" s="1416"/>
      <c r="J594" s="1416"/>
      <c r="K594" s="1416"/>
      <c r="L594" s="1416"/>
      <c r="M594" s="1416"/>
      <c r="N594" s="1416"/>
      <c r="O594" s="1416"/>
      <c r="P594" s="1416"/>
      <c r="Q594" s="1416"/>
      <c r="R594" s="1416"/>
      <c r="S594"/>
      <c r="T594" s="22"/>
      <c r="U594" t="s">
        <v>85</v>
      </c>
      <c r="V594"/>
      <c r="W594"/>
      <c r="X594"/>
      <c r="Y594"/>
      <c r="Z594" s="1416"/>
      <c r="AA594" s="1416"/>
      <c r="AB594" s="1416"/>
      <c r="AC594" s="1416"/>
      <c r="AD594" s="1416"/>
      <c r="AE594" s="1416"/>
      <c r="AF594" s="1416"/>
      <c r="AG594" s="1416"/>
      <c r="AH594" s="1416"/>
      <c r="AI594" s="1416"/>
      <c r="AJ594" s="1416"/>
      <c r="AK594" s="141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05" customHeight="1">
      <c r="A595" s="22"/>
      <c r="B595" t="s">
        <v>588</v>
      </c>
      <c r="C595"/>
      <c r="D595"/>
      <c r="E595"/>
      <c r="F595"/>
      <c r="G595" s="1416"/>
      <c r="H595" s="1416"/>
      <c r="I595" s="1416"/>
      <c r="J595" s="1416"/>
      <c r="K595" s="1416"/>
      <c r="L595" s="1416"/>
      <c r="M595" s="1416"/>
      <c r="N595" s="1416"/>
      <c r="O595" s="1416"/>
      <c r="P595" s="1416"/>
      <c r="Q595" s="1416"/>
      <c r="R595" s="1416"/>
      <c r="S595"/>
      <c r="T595" s="22"/>
      <c r="U595" t="s">
        <v>588</v>
      </c>
      <c r="V595"/>
      <c r="W595"/>
      <c r="X595"/>
      <c r="Y595"/>
      <c r="Z595" s="1411"/>
      <c r="AA595" s="1411"/>
      <c r="AB595" s="1411"/>
      <c r="AC595" s="1411"/>
      <c r="AD595" s="1411"/>
      <c r="AE595" s="1411"/>
      <c r="AF595" s="1411"/>
      <c r="AG595" s="1411"/>
      <c r="AH595" s="1411"/>
      <c r="AI595" s="1411"/>
      <c r="AJ595" s="1411"/>
      <c r="AK595" s="141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05" customHeight="1">
      <c r="A596" s="22"/>
      <c r="B596" t="s">
        <v>17</v>
      </c>
      <c r="C596"/>
      <c r="D596"/>
      <c r="E596"/>
      <c r="F596"/>
      <c r="G596" s="1416"/>
      <c r="H596" s="1416"/>
      <c r="I596" s="1416"/>
      <c r="J596" s="1416"/>
      <c r="K596" s="1416"/>
      <c r="L596" s="1416"/>
      <c r="M596" s="1416"/>
      <c r="N596" s="1416"/>
      <c r="O596" s="1416"/>
      <c r="P596" s="1416"/>
      <c r="Q596" s="1416"/>
      <c r="R596" s="1416"/>
      <c r="S596"/>
      <c r="T596" s="22"/>
      <c r="U596" t="s">
        <v>17</v>
      </c>
      <c r="V596"/>
      <c r="W596"/>
      <c r="X596"/>
      <c r="Y596"/>
      <c r="Z596" s="1411"/>
      <c r="AA596" s="1411"/>
      <c r="AB596" s="1411"/>
      <c r="AC596" s="1411"/>
      <c r="AD596" s="1411"/>
      <c r="AE596" s="1411"/>
      <c r="AF596" s="1411"/>
      <c r="AG596" s="1411"/>
      <c r="AH596" s="1411"/>
      <c r="AI596" s="1411"/>
      <c r="AJ596" s="1411"/>
      <c r="AK596" s="1411"/>
      <c r="AL596"/>
      <c r="AM596"/>
      <c r="AN596"/>
      <c r="AO596"/>
      <c r="AP596"/>
      <c r="AQ596"/>
      <c r="AR596"/>
      <c r="AS596"/>
      <c r="AT596"/>
      <c r="AU596"/>
      <c r="AV596"/>
      <c r="AW596"/>
      <c r="AX596"/>
      <c r="AY596"/>
      <c r="BA596" s="4" t="s">
        <v>325</v>
      </c>
      <c r="BB596" s="3"/>
      <c r="BC596" s="3"/>
      <c r="BD596" s="3"/>
      <c r="BE596" s="121" t="s">
        <v>482</v>
      </c>
      <c r="BF596" s="122"/>
      <c r="BG596" s="1671"/>
      <c r="BH596" s="1673"/>
      <c r="BI596" s="121" t="s">
        <v>483</v>
      </c>
      <c r="BJ596" s="122"/>
      <c r="BK596" s="1671"/>
      <c r="BL596" s="1673"/>
      <c r="BM596" s="3"/>
      <c r="BN596" s="1399" t="s">
        <v>640</v>
      </c>
      <c r="BO596" s="1400"/>
      <c r="BP596" s="1400"/>
      <c r="BQ596" s="1400"/>
      <c r="BR596" s="1401"/>
      <c r="BS596" s="1502" t="s">
        <v>326</v>
      </c>
      <c r="BT596" s="1502"/>
      <c r="BU596" s="1502"/>
      <c r="BV596" s="1502"/>
      <c r="BW596" s="1502"/>
      <c r="BX596" s="1502" t="s">
        <v>163</v>
      </c>
      <c r="BY596" s="1502"/>
      <c r="BZ596" s="1502"/>
      <c r="CA596" s="1502"/>
      <c r="CB596" s="1502"/>
      <c r="CC596" s="1502" t="s">
        <v>164</v>
      </c>
      <c r="CD596" s="1502"/>
      <c r="CE596" s="1502"/>
      <c r="CF596" s="1502"/>
      <c r="CG596" s="1502"/>
      <c r="CH596" s="1502" t="s">
        <v>468</v>
      </c>
      <c r="CI596" s="1502"/>
      <c r="CJ596" s="1502"/>
      <c r="CK596" s="1502"/>
      <c r="CL596" s="1502"/>
      <c r="CM596" s="1502" t="s">
        <v>30</v>
      </c>
      <c r="CN596" s="1502"/>
      <c r="CO596" s="1502"/>
      <c r="CP596" s="1502"/>
      <c r="CQ596" s="1502"/>
      <c r="CR596" s="89"/>
      <c r="CS596" s="1502" t="s">
        <v>640</v>
      </c>
      <c r="CT596" s="1502"/>
      <c r="CU596" s="1502"/>
      <c r="CV596" s="1502"/>
      <c r="CW596" s="1502"/>
      <c r="CX596" s="1502" t="s">
        <v>326</v>
      </c>
      <c r="CY596" s="1502"/>
      <c r="CZ596" s="1502"/>
      <c r="DA596" s="1502"/>
      <c r="DB596" s="1502"/>
      <c r="DC596" s="1502" t="s">
        <v>163</v>
      </c>
      <c r="DD596" s="1502"/>
      <c r="DE596" s="1502"/>
      <c r="DF596" s="1502"/>
      <c r="DG596" s="1502"/>
      <c r="DH596" s="1502" t="s">
        <v>164</v>
      </c>
      <c r="DI596" s="1502"/>
      <c r="DJ596" s="1502"/>
      <c r="DK596" s="1502"/>
      <c r="DL596" s="1502"/>
      <c r="DM596" s="1502" t="s">
        <v>468</v>
      </c>
      <c r="DN596" s="1502"/>
      <c r="DO596" s="1502"/>
      <c r="DP596" s="1502"/>
      <c r="DQ596" s="1502"/>
      <c r="DR596" s="1502" t="s">
        <v>30</v>
      </c>
      <c r="DS596" s="1502"/>
      <c r="DT596" s="1502"/>
      <c r="DU596" s="1502"/>
      <c r="DV596" s="1502"/>
      <c r="DX596" s="1502" t="s">
        <v>640</v>
      </c>
      <c r="DY596" s="1502"/>
      <c r="DZ596" s="1502"/>
      <c r="EA596" s="1502"/>
      <c r="EB596" s="1502"/>
      <c r="EC596" s="1502" t="s">
        <v>326</v>
      </c>
      <c r="ED596" s="1502"/>
      <c r="EE596" s="1502"/>
      <c r="EF596" s="1502"/>
      <c r="EG596" s="1502"/>
      <c r="EH596" s="1502" t="s">
        <v>163</v>
      </c>
      <c r="EI596" s="1502"/>
      <c r="EJ596" s="1502"/>
      <c r="EK596" s="1502"/>
      <c r="EL596" s="1502"/>
      <c r="EM596" s="1502" t="s">
        <v>164</v>
      </c>
      <c r="EN596" s="1502"/>
      <c r="EO596" s="1502"/>
      <c r="EP596" s="1502"/>
      <c r="EQ596" s="1502"/>
      <c r="ER596" s="1502" t="s">
        <v>468</v>
      </c>
      <c r="ES596" s="1502"/>
      <c r="ET596" s="1502"/>
      <c r="EU596" s="1502"/>
      <c r="EV596" s="1502"/>
      <c r="EW596" s="1502" t="s">
        <v>30</v>
      </c>
      <c r="EX596" s="1502"/>
      <c r="EY596" s="1502"/>
      <c r="EZ596" s="1502"/>
      <c r="FA596" s="1502"/>
    </row>
    <row r="597" spans="1:157" s="4" customFormat="1" ht="13.05" customHeight="1">
      <c r="A597" s="22"/>
      <c r="B597" t="s">
        <v>317</v>
      </c>
      <c r="C597"/>
      <c r="D597"/>
      <c r="E597"/>
      <c r="F597"/>
      <c r="G597" s="1477"/>
      <c r="H597" s="1477"/>
      <c r="I597" s="1477"/>
      <c r="J597" s="1477"/>
      <c r="K597" s="1477"/>
      <c r="L597" s="1477"/>
      <c r="M597"/>
      <c r="N597"/>
      <c r="O597" s="33" t="s">
        <v>207</v>
      </c>
      <c r="P597" s="1441"/>
      <c r="Q597" s="1441"/>
      <c r="R597" s="1441"/>
      <c r="S597"/>
      <c r="T597" s="22"/>
      <c r="U597" t="s">
        <v>317</v>
      </c>
      <c r="V597"/>
      <c r="W597"/>
      <c r="X597"/>
      <c r="Y597"/>
      <c r="Z597" s="1477"/>
      <c r="AA597" s="1477"/>
      <c r="AB597" s="1477"/>
      <c r="AC597" s="1477"/>
      <c r="AD597" s="1477"/>
      <c r="AE597" s="1477"/>
      <c r="AF597"/>
      <c r="AG597"/>
      <c r="AH597" s="33" t="s">
        <v>207</v>
      </c>
      <c r="AI597" s="1441"/>
      <c r="AJ597" s="1441"/>
      <c r="AK597" s="1441"/>
      <c r="AL597"/>
      <c r="AM597"/>
      <c r="AN597"/>
      <c r="AO597"/>
      <c r="AP597"/>
      <c r="AQ597"/>
      <c r="AR597"/>
      <c r="AS597"/>
      <c r="AT597"/>
      <c r="AU597"/>
      <c r="AV597"/>
      <c r="AW597"/>
      <c r="AX597"/>
      <c r="AY597"/>
      <c r="BA597" s="4" t="s">
        <v>326</v>
      </c>
      <c r="BB597" s="3"/>
      <c r="BC597" s="3"/>
      <c r="BD597" s="3"/>
      <c r="BE597" s="1473">
        <f t="shared" ref="BE597:BE631" si="1">IF(AND(AC718&lt;=0.5,AC718&gt;=0.36),1,0)</f>
        <v>0</v>
      </c>
      <c r="BF597" s="1475"/>
      <c r="BG597" s="1671">
        <f t="shared" ref="BG597:BG631" si="2">IF(BE597=1,G718,0)</f>
        <v>0</v>
      </c>
      <c r="BH597" s="1673"/>
      <c r="BI597" s="1473">
        <f t="shared" ref="BI597:BI631" si="3">IF(AND(AC718&lt;=0.35,AC718&gt;0),1,0)</f>
        <v>0</v>
      </c>
      <c r="BJ597" s="1475"/>
      <c r="BK597" s="1671">
        <f t="shared" ref="BK597:BK631" si="4">IF(BI597=1,G718,0)</f>
        <v>0</v>
      </c>
      <c r="BL597" s="1673"/>
      <c r="BM597" s="3"/>
      <c r="BN597" s="1479">
        <f t="shared" ref="BN597:BN631" si="5">IF(B718="SRO/Studio",G718,0)</f>
        <v>0</v>
      </c>
      <c r="BO597" s="1480"/>
      <c r="BP597" s="1480"/>
      <c r="BQ597" s="1480"/>
      <c r="BR597" s="1481"/>
      <c r="BS597" s="1478">
        <f t="shared" ref="BS597:BS631" si="6">IF(B718="1 Bedroom",G718,0)</f>
        <v>1</v>
      </c>
      <c r="BT597" s="1478"/>
      <c r="BU597" s="1478"/>
      <c r="BV597" s="1478"/>
      <c r="BW597" s="1478"/>
      <c r="BX597" s="1478">
        <f t="shared" ref="BX597:BX631" si="7">IF(B718="2 Bedrooms",G718,0)</f>
        <v>0</v>
      </c>
      <c r="BY597" s="1478"/>
      <c r="BZ597" s="1478"/>
      <c r="CA597" s="1478"/>
      <c r="CB597" s="1478"/>
      <c r="CC597" s="1478">
        <f t="shared" ref="CC597:CC631" si="8">IF(B718="3 Bedrooms",G718,0)</f>
        <v>0</v>
      </c>
      <c r="CD597" s="1478"/>
      <c r="CE597" s="1478"/>
      <c r="CF597" s="1478"/>
      <c r="CG597" s="1478"/>
      <c r="CH597" s="1478">
        <f t="shared" ref="CH597:CH631" si="9">IF(B718="4 Bedrooms",G718,0)</f>
        <v>0</v>
      </c>
      <c r="CI597" s="1478"/>
      <c r="CJ597" s="1478"/>
      <c r="CK597" s="1478"/>
      <c r="CL597" s="1478"/>
      <c r="CM597" s="1478">
        <f t="shared" ref="CM597:CM631" si="10">IF(B718="5 Bedrooms",G718,0)</f>
        <v>0</v>
      </c>
      <c r="CN597" s="1478"/>
      <c r="CO597" s="1478"/>
      <c r="CP597" s="1478"/>
      <c r="CQ597" s="1478"/>
      <c r="CR597" s="6"/>
      <c r="CS597" s="1496">
        <f t="shared" ref="CS597:CS631" si="11">IF(AND(B718="SRO/Studio",AC718&lt;=0.3),G718,0)</f>
        <v>0</v>
      </c>
      <c r="CT597" s="1496"/>
      <c r="CU597" s="1496"/>
      <c r="CV597" s="1496"/>
      <c r="CW597" s="1496"/>
      <c r="CX597" s="1496">
        <f t="shared" ref="CX597:CX631" si="12">IF(AND(B718="1 Bedroom",AC718&lt;=0.3),G718,0)</f>
        <v>0</v>
      </c>
      <c r="CY597" s="1496"/>
      <c r="CZ597" s="1496"/>
      <c r="DA597" s="1496"/>
      <c r="DB597" s="1496"/>
      <c r="DC597" s="1496">
        <f t="shared" ref="DC597:DC631" si="13">IF(AND(B718="2 Bedrooms",AC718&lt;=0.3),G718,0)</f>
        <v>0</v>
      </c>
      <c r="DD597" s="1496"/>
      <c r="DE597" s="1496"/>
      <c r="DF597" s="1496"/>
      <c r="DG597" s="1496"/>
      <c r="DH597" s="1496">
        <f t="shared" ref="DH597:DH631" si="14">IF(AND(B718="3 Bedrooms",AC718&lt;=0.3),G718,0)</f>
        <v>0</v>
      </c>
      <c r="DI597" s="1496"/>
      <c r="DJ597" s="1496"/>
      <c r="DK597" s="1496"/>
      <c r="DL597" s="1496"/>
      <c r="DM597" s="1496">
        <f t="shared" ref="DM597:DM631" si="15">IF(AND(B718="4 Bedrooms",AC718&lt;=0.3),G718,0)</f>
        <v>0</v>
      </c>
      <c r="DN597" s="1496"/>
      <c r="DO597" s="1496"/>
      <c r="DP597" s="1496"/>
      <c r="DQ597" s="1496"/>
      <c r="DR597" s="1496">
        <f t="shared" ref="DR597:DR631" si="16">IF(AND(B718="5 Bedrooms",AC718&lt;=0.3),G718,0)</f>
        <v>0</v>
      </c>
      <c r="DS597" s="1496"/>
      <c r="DT597" s="1496"/>
      <c r="DU597" s="1496"/>
      <c r="DV597" s="1496"/>
      <c r="DX597" s="1473" t="str">
        <f t="shared" ref="DX597:DX631" si="17">IF(BN597&gt;0,O718,"")</f>
        <v/>
      </c>
      <c r="DY597" s="1474"/>
      <c r="DZ597" s="1474"/>
      <c r="EA597" s="1474"/>
      <c r="EB597" s="1475"/>
      <c r="EC597" s="1473">
        <f t="shared" ref="EC597:EC631" si="18">IF(BS597&gt;0,O718,"")</f>
        <v>1537</v>
      </c>
      <c r="ED597" s="1474"/>
      <c r="EE597" s="1474"/>
      <c r="EF597" s="1474"/>
      <c r="EG597" s="1475"/>
      <c r="EH597" s="1473" t="str">
        <f t="shared" ref="EH597:EH631" si="19">IF(BX597&gt;0,O718,"")</f>
        <v/>
      </c>
      <c r="EI597" s="1474"/>
      <c r="EJ597" s="1474"/>
      <c r="EK597" s="1474"/>
      <c r="EL597" s="1475"/>
      <c r="EM597" s="1473" t="str">
        <f t="shared" ref="EM597:EM631" si="20">IF(CC597&gt;0,O718,"")</f>
        <v/>
      </c>
      <c r="EN597" s="1474"/>
      <c r="EO597" s="1474"/>
      <c r="EP597" s="1474"/>
      <c r="EQ597" s="1475"/>
      <c r="ER597" s="1473" t="str">
        <f t="shared" ref="ER597:ER631" si="21">IF(CH597&gt;0,O718,"")</f>
        <v/>
      </c>
      <c r="ES597" s="1474"/>
      <c r="ET597" s="1474"/>
      <c r="EU597" s="1474"/>
      <c r="EV597" s="1475"/>
      <c r="EW597" s="1473" t="str">
        <f t="shared" ref="EW597:EW631" si="22">IF(CM597&gt;0,O718,"")</f>
        <v/>
      </c>
      <c r="EX597" s="1474"/>
      <c r="EY597" s="1474"/>
      <c r="EZ597" s="1474"/>
      <c r="FA597" s="1475"/>
    </row>
    <row r="598" spans="1:157" s="4" customFormat="1" ht="13.05" customHeight="1">
      <c r="A598" s="22"/>
      <c r="B598" t="s">
        <v>18</v>
      </c>
      <c r="C598"/>
      <c r="D598"/>
      <c r="E598"/>
      <c r="F598"/>
      <c r="G598"/>
      <c r="H598" s="1416"/>
      <c r="I598" s="1416"/>
      <c r="J598" s="1416"/>
      <c r="K598" s="1416"/>
      <c r="L598" s="1416"/>
      <c r="M598" s="1416"/>
      <c r="N598" s="1416"/>
      <c r="O598" s="1416"/>
      <c r="P598" s="1416"/>
      <c r="Q598" s="1416"/>
      <c r="R598" s="1416"/>
      <c r="S598"/>
      <c r="T598" s="22"/>
      <c r="U598" t="s">
        <v>18</v>
      </c>
      <c r="V598"/>
      <c r="W598"/>
      <c r="X598"/>
      <c r="Y598"/>
      <c r="Z598"/>
      <c r="AA598" s="1416"/>
      <c r="AB598" s="1416"/>
      <c r="AC598" s="1416"/>
      <c r="AD598" s="1416"/>
      <c r="AE598" s="1416"/>
      <c r="AF598" s="1416"/>
      <c r="AG598" s="1416"/>
      <c r="AH598" s="1416"/>
      <c r="AI598" s="1416"/>
      <c r="AJ598" s="1416"/>
      <c r="AK598" s="1416"/>
      <c r="AL598"/>
      <c r="AM598"/>
      <c r="AN598"/>
      <c r="AO598"/>
      <c r="AP598"/>
      <c r="AQ598"/>
      <c r="AR598"/>
      <c r="AS598"/>
      <c r="AT598"/>
      <c r="AU598"/>
      <c r="AV598"/>
      <c r="AW598"/>
      <c r="AX598"/>
      <c r="AY598"/>
      <c r="BA598" s="4" t="s">
        <v>163</v>
      </c>
      <c r="BB598" s="3"/>
      <c r="BC598" s="3"/>
      <c r="BD598" s="3"/>
      <c r="BE598" s="1473">
        <f t="shared" si="1"/>
        <v>1</v>
      </c>
      <c r="BF598" s="1475"/>
      <c r="BG598" s="1671">
        <f t="shared" si="2"/>
        <v>10</v>
      </c>
      <c r="BH598" s="1673"/>
      <c r="BI598" s="1473">
        <f t="shared" si="3"/>
        <v>0</v>
      </c>
      <c r="BJ598" s="1475"/>
      <c r="BK598" s="1671">
        <f t="shared" si="4"/>
        <v>0</v>
      </c>
      <c r="BL598" s="1673"/>
      <c r="BM598" s="3"/>
      <c r="BN598" s="1479">
        <f t="shared" si="5"/>
        <v>0</v>
      </c>
      <c r="BO598" s="1480"/>
      <c r="BP598" s="1480"/>
      <c r="BQ598" s="1480"/>
      <c r="BR598" s="1481"/>
      <c r="BS598" s="1478">
        <f t="shared" si="6"/>
        <v>10</v>
      </c>
      <c r="BT598" s="1478"/>
      <c r="BU598" s="1478"/>
      <c r="BV598" s="1478"/>
      <c r="BW598" s="1478"/>
      <c r="BX598" s="1478">
        <f t="shared" si="7"/>
        <v>0</v>
      </c>
      <c r="BY598" s="1478"/>
      <c r="BZ598" s="1478"/>
      <c r="CA598" s="1478"/>
      <c r="CB598" s="1478"/>
      <c r="CC598" s="1478">
        <f t="shared" si="8"/>
        <v>0</v>
      </c>
      <c r="CD598" s="1478"/>
      <c r="CE598" s="1478"/>
      <c r="CF598" s="1478"/>
      <c r="CG598" s="1478"/>
      <c r="CH598" s="1478">
        <f t="shared" si="9"/>
        <v>0</v>
      </c>
      <c r="CI598" s="1478"/>
      <c r="CJ598" s="1478"/>
      <c r="CK598" s="1478"/>
      <c r="CL598" s="1478"/>
      <c r="CM598" s="1478">
        <f t="shared" si="10"/>
        <v>0</v>
      </c>
      <c r="CN598" s="1478"/>
      <c r="CO598" s="1478"/>
      <c r="CP598" s="1478"/>
      <c r="CQ598" s="1478"/>
      <c r="CR598" s="6"/>
      <c r="CS598" s="1496">
        <f t="shared" si="11"/>
        <v>0</v>
      </c>
      <c r="CT598" s="1496"/>
      <c r="CU598" s="1496"/>
      <c r="CV598" s="1496"/>
      <c r="CW598" s="1496"/>
      <c r="CX598" s="1496">
        <f t="shared" si="12"/>
        <v>0</v>
      </c>
      <c r="CY598" s="1496"/>
      <c r="CZ598" s="1496"/>
      <c r="DA598" s="1496"/>
      <c r="DB598" s="1496"/>
      <c r="DC598" s="1496">
        <f t="shared" si="13"/>
        <v>0</v>
      </c>
      <c r="DD598" s="1496"/>
      <c r="DE598" s="1496"/>
      <c r="DF598" s="1496"/>
      <c r="DG598" s="1496"/>
      <c r="DH598" s="1496">
        <f t="shared" si="14"/>
        <v>0</v>
      </c>
      <c r="DI598" s="1496"/>
      <c r="DJ598" s="1496"/>
      <c r="DK598" s="1496"/>
      <c r="DL598" s="1496"/>
      <c r="DM598" s="1496">
        <f t="shared" si="15"/>
        <v>0</v>
      </c>
      <c r="DN598" s="1496"/>
      <c r="DO598" s="1496"/>
      <c r="DP598" s="1496"/>
      <c r="DQ598" s="1496"/>
      <c r="DR598" s="1496">
        <f t="shared" si="16"/>
        <v>0</v>
      </c>
      <c r="DS598" s="1496"/>
      <c r="DT598" s="1496"/>
      <c r="DU598" s="1496"/>
      <c r="DV598" s="1496"/>
      <c r="DX598" s="1473" t="str">
        <f t="shared" si="17"/>
        <v/>
      </c>
      <c r="DY598" s="1474"/>
      <c r="DZ598" s="1474"/>
      <c r="EA598" s="1474"/>
      <c r="EB598" s="1475"/>
      <c r="EC598" s="1473">
        <f t="shared" si="18"/>
        <v>1537</v>
      </c>
      <c r="ED598" s="1474"/>
      <c r="EE598" s="1474"/>
      <c r="EF598" s="1474"/>
      <c r="EG598" s="1475"/>
      <c r="EH598" s="1473" t="str">
        <f t="shared" si="19"/>
        <v/>
      </c>
      <c r="EI598" s="1474"/>
      <c r="EJ598" s="1474"/>
      <c r="EK598" s="1474"/>
      <c r="EL598" s="1475"/>
      <c r="EM598" s="1473" t="str">
        <f t="shared" si="20"/>
        <v/>
      </c>
      <c r="EN598" s="1474"/>
      <c r="EO598" s="1474"/>
      <c r="EP598" s="1474"/>
      <c r="EQ598" s="1475"/>
      <c r="ER598" s="1473" t="str">
        <f t="shared" si="21"/>
        <v/>
      </c>
      <c r="ES598" s="1474"/>
      <c r="ET598" s="1474"/>
      <c r="EU598" s="1474"/>
      <c r="EV598" s="1475"/>
      <c r="EW598" s="1473" t="str">
        <f t="shared" si="22"/>
        <v/>
      </c>
      <c r="EX598" s="1474"/>
      <c r="EY598" s="1474"/>
      <c r="EZ598" s="1474"/>
      <c r="FA598" s="1475"/>
    </row>
    <row r="599" spans="1:157" ht="13.05" customHeight="1">
      <c r="A599" s="22"/>
      <c r="B599" t="s">
        <v>20</v>
      </c>
      <c r="N599" s="1415"/>
      <c r="O599" s="1415"/>
      <c r="T599" s="22"/>
      <c r="U599" t="s">
        <v>20</v>
      </c>
      <c r="AG599" s="1415"/>
      <c r="AH599" s="1415"/>
      <c r="BA599" s="4" t="s">
        <v>164</v>
      </c>
      <c r="BB599" s="3"/>
      <c r="BC599" s="3"/>
      <c r="BD599" s="3"/>
      <c r="BE599" s="1473">
        <f t="shared" si="1"/>
        <v>0</v>
      </c>
      <c r="BF599" s="1475"/>
      <c r="BG599" s="1671">
        <f t="shared" si="2"/>
        <v>0</v>
      </c>
      <c r="BH599" s="1673"/>
      <c r="BI599" s="1473">
        <f t="shared" si="3"/>
        <v>1</v>
      </c>
      <c r="BJ599" s="1475"/>
      <c r="BK599" s="1671">
        <f t="shared" si="4"/>
        <v>10</v>
      </c>
      <c r="BL599" s="1673"/>
      <c r="BM599" s="3"/>
      <c r="BN599" s="1479">
        <f t="shared" si="5"/>
        <v>0</v>
      </c>
      <c r="BO599" s="1480"/>
      <c r="BP599" s="1480"/>
      <c r="BQ599" s="1480"/>
      <c r="BR599" s="1481"/>
      <c r="BS599" s="1478">
        <f t="shared" si="6"/>
        <v>10</v>
      </c>
      <c r="BT599" s="1478"/>
      <c r="BU599" s="1478"/>
      <c r="BV599" s="1478"/>
      <c r="BW599" s="1478"/>
      <c r="BX599" s="1478">
        <f t="shared" si="7"/>
        <v>0</v>
      </c>
      <c r="BY599" s="1478"/>
      <c r="BZ599" s="1478"/>
      <c r="CA599" s="1478"/>
      <c r="CB599" s="1478"/>
      <c r="CC599" s="1478">
        <f t="shared" si="8"/>
        <v>0</v>
      </c>
      <c r="CD599" s="1478"/>
      <c r="CE599" s="1478"/>
      <c r="CF599" s="1478"/>
      <c r="CG599" s="1478"/>
      <c r="CH599" s="1478">
        <f t="shared" si="9"/>
        <v>0</v>
      </c>
      <c r="CI599" s="1478"/>
      <c r="CJ599" s="1478"/>
      <c r="CK599" s="1478"/>
      <c r="CL599" s="1478"/>
      <c r="CM599" s="1478">
        <f t="shared" si="10"/>
        <v>0</v>
      </c>
      <c r="CN599" s="1478"/>
      <c r="CO599" s="1478"/>
      <c r="CP599" s="1478"/>
      <c r="CQ599" s="1478"/>
      <c r="CR599" s="6"/>
      <c r="CS599" s="1496">
        <f t="shared" si="11"/>
        <v>0</v>
      </c>
      <c r="CT599" s="1496"/>
      <c r="CU599" s="1496"/>
      <c r="CV599" s="1496"/>
      <c r="CW599" s="1496"/>
      <c r="CX599" s="1496">
        <f t="shared" si="12"/>
        <v>10</v>
      </c>
      <c r="CY599" s="1496"/>
      <c r="CZ599" s="1496"/>
      <c r="DA599" s="1496"/>
      <c r="DB599" s="1496"/>
      <c r="DC599" s="1496">
        <f t="shared" si="13"/>
        <v>0</v>
      </c>
      <c r="DD599" s="1496"/>
      <c r="DE599" s="1496"/>
      <c r="DF599" s="1496"/>
      <c r="DG599" s="1496"/>
      <c r="DH599" s="1496">
        <f t="shared" si="14"/>
        <v>0</v>
      </c>
      <c r="DI599" s="1496"/>
      <c r="DJ599" s="1496"/>
      <c r="DK599" s="1496"/>
      <c r="DL599" s="1496"/>
      <c r="DM599" s="1496">
        <f t="shared" si="15"/>
        <v>0</v>
      </c>
      <c r="DN599" s="1496"/>
      <c r="DO599" s="1496"/>
      <c r="DP599" s="1496"/>
      <c r="DQ599" s="1496"/>
      <c r="DR599" s="1496">
        <f t="shared" si="16"/>
        <v>0</v>
      </c>
      <c r="DS599" s="1496"/>
      <c r="DT599" s="1496"/>
      <c r="DU599" s="1496"/>
      <c r="DV599" s="1496"/>
      <c r="DX599" s="1473" t="str">
        <f t="shared" si="17"/>
        <v/>
      </c>
      <c r="DY599" s="1474"/>
      <c r="DZ599" s="1474"/>
      <c r="EA599" s="1474"/>
      <c r="EB599" s="1475"/>
      <c r="EC599" s="1473">
        <f t="shared" si="18"/>
        <v>918</v>
      </c>
      <c r="ED599" s="1474"/>
      <c r="EE599" s="1474"/>
      <c r="EF599" s="1474"/>
      <c r="EG599" s="1475"/>
      <c r="EH599" s="1473" t="str">
        <f t="shared" si="19"/>
        <v/>
      </c>
      <c r="EI599" s="1474"/>
      <c r="EJ599" s="1474"/>
      <c r="EK599" s="1474"/>
      <c r="EL599" s="1475"/>
      <c r="EM599" s="1473" t="str">
        <f t="shared" si="20"/>
        <v/>
      </c>
      <c r="EN599" s="1474"/>
      <c r="EO599" s="1474"/>
      <c r="EP599" s="1474"/>
      <c r="EQ599" s="1475"/>
      <c r="ER599" s="1473" t="str">
        <f t="shared" si="21"/>
        <v/>
      </c>
      <c r="ES599" s="1474"/>
      <c r="ET599" s="1474"/>
      <c r="EU599" s="1474"/>
      <c r="EV599" s="1475"/>
      <c r="EW599" s="1473" t="str">
        <f t="shared" si="22"/>
        <v/>
      </c>
      <c r="EX599" s="1474"/>
      <c r="EY599" s="1474"/>
      <c r="EZ599" s="1474"/>
      <c r="FA599" s="1475"/>
    </row>
    <row r="600" spans="1:157" ht="13.05" customHeight="1">
      <c r="A600" s="22"/>
      <c r="T600" s="22"/>
      <c r="BA600" s="4" t="s">
        <v>165</v>
      </c>
      <c r="BB600" s="3"/>
      <c r="BC600" s="3"/>
      <c r="BD600" s="3"/>
      <c r="BE600" s="1473">
        <f t="shared" si="1"/>
        <v>0</v>
      </c>
      <c r="BF600" s="1475"/>
      <c r="BG600" s="1671">
        <f t="shared" si="2"/>
        <v>0</v>
      </c>
      <c r="BH600" s="1673"/>
      <c r="BI600" s="1473">
        <f t="shared" si="3"/>
        <v>0</v>
      </c>
      <c r="BJ600" s="1475"/>
      <c r="BK600" s="1671">
        <f t="shared" si="4"/>
        <v>0</v>
      </c>
      <c r="BL600" s="1673"/>
      <c r="BM600" s="3"/>
      <c r="BN600" s="1479">
        <f t="shared" si="5"/>
        <v>0</v>
      </c>
      <c r="BO600" s="1480"/>
      <c r="BP600" s="1480"/>
      <c r="BQ600" s="1480"/>
      <c r="BR600" s="1481"/>
      <c r="BS600" s="1478">
        <f t="shared" si="6"/>
        <v>0</v>
      </c>
      <c r="BT600" s="1478"/>
      <c r="BU600" s="1478"/>
      <c r="BV600" s="1478"/>
      <c r="BW600" s="1478"/>
      <c r="BX600" s="1478">
        <f t="shared" si="7"/>
        <v>25</v>
      </c>
      <c r="BY600" s="1478"/>
      <c r="BZ600" s="1478"/>
      <c r="CA600" s="1478"/>
      <c r="CB600" s="1478"/>
      <c r="CC600" s="1478">
        <f t="shared" si="8"/>
        <v>0</v>
      </c>
      <c r="CD600" s="1478"/>
      <c r="CE600" s="1478"/>
      <c r="CF600" s="1478"/>
      <c r="CG600" s="1478"/>
      <c r="CH600" s="1478">
        <f t="shared" si="9"/>
        <v>0</v>
      </c>
      <c r="CI600" s="1478"/>
      <c r="CJ600" s="1478"/>
      <c r="CK600" s="1478"/>
      <c r="CL600" s="1478"/>
      <c r="CM600" s="1478">
        <f t="shared" si="10"/>
        <v>0</v>
      </c>
      <c r="CN600" s="1478"/>
      <c r="CO600" s="1478"/>
      <c r="CP600" s="1478"/>
      <c r="CQ600" s="1478"/>
      <c r="CR600" s="6"/>
      <c r="CS600" s="1496">
        <f t="shared" si="11"/>
        <v>0</v>
      </c>
      <c r="CT600" s="1496"/>
      <c r="CU600" s="1496"/>
      <c r="CV600" s="1496"/>
      <c r="CW600" s="1496"/>
      <c r="CX600" s="1496">
        <f t="shared" si="12"/>
        <v>0</v>
      </c>
      <c r="CY600" s="1496"/>
      <c r="CZ600" s="1496"/>
      <c r="DA600" s="1496"/>
      <c r="DB600" s="1496"/>
      <c r="DC600" s="1496">
        <f t="shared" si="13"/>
        <v>0</v>
      </c>
      <c r="DD600" s="1496"/>
      <c r="DE600" s="1496"/>
      <c r="DF600" s="1496"/>
      <c r="DG600" s="1496"/>
      <c r="DH600" s="1496">
        <f t="shared" si="14"/>
        <v>0</v>
      </c>
      <c r="DI600" s="1496"/>
      <c r="DJ600" s="1496"/>
      <c r="DK600" s="1496"/>
      <c r="DL600" s="1496"/>
      <c r="DM600" s="1496">
        <f t="shared" si="15"/>
        <v>0</v>
      </c>
      <c r="DN600" s="1496"/>
      <c r="DO600" s="1496"/>
      <c r="DP600" s="1496"/>
      <c r="DQ600" s="1496"/>
      <c r="DR600" s="1496">
        <f t="shared" si="16"/>
        <v>0</v>
      </c>
      <c r="DS600" s="1496"/>
      <c r="DT600" s="1496"/>
      <c r="DU600" s="1496"/>
      <c r="DV600" s="1496"/>
      <c r="DX600" s="1473" t="str">
        <f t="shared" si="17"/>
        <v/>
      </c>
      <c r="DY600" s="1474"/>
      <c r="DZ600" s="1474"/>
      <c r="EA600" s="1474"/>
      <c r="EB600" s="1475"/>
      <c r="EC600" s="1473" t="str">
        <f t="shared" si="18"/>
        <v/>
      </c>
      <c r="ED600" s="1474"/>
      <c r="EE600" s="1474"/>
      <c r="EF600" s="1474"/>
      <c r="EG600" s="1475"/>
      <c r="EH600" s="1473">
        <f t="shared" si="19"/>
        <v>2502</v>
      </c>
      <c r="EI600" s="1474"/>
      <c r="EJ600" s="1474"/>
      <c r="EK600" s="1474"/>
      <c r="EL600" s="1475"/>
      <c r="EM600" s="1473" t="str">
        <f t="shared" si="20"/>
        <v/>
      </c>
      <c r="EN600" s="1474"/>
      <c r="EO600" s="1474"/>
      <c r="EP600" s="1474"/>
      <c r="EQ600" s="1475"/>
      <c r="ER600" s="1473" t="str">
        <f t="shared" si="21"/>
        <v/>
      </c>
      <c r="ES600" s="1474"/>
      <c r="ET600" s="1474"/>
      <c r="EU600" s="1474"/>
      <c r="EV600" s="1475"/>
      <c r="EW600" s="1473" t="str">
        <f t="shared" si="22"/>
        <v/>
      </c>
      <c r="EX600" s="1474"/>
      <c r="EY600" s="1474"/>
      <c r="EZ600" s="1474"/>
      <c r="FA600" s="1475"/>
    </row>
    <row r="601" spans="1:157" ht="13.05" customHeight="1">
      <c r="A601" s="55" t="s">
        <v>469</v>
      </c>
      <c r="B601" t="s">
        <v>471</v>
      </c>
      <c r="G601" s="1417">
        <f>C562</f>
        <v>0</v>
      </c>
      <c r="H601" s="1417"/>
      <c r="I601" s="1417"/>
      <c r="J601" s="1417"/>
      <c r="K601" s="1417"/>
      <c r="L601" s="1417"/>
      <c r="M601" s="1417"/>
      <c r="N601" s="1417"/>
      <c r="O601" s="1417"/>
      <c r="P601" s="1417"/>
      <c r="Q601" s="1417"/>
      <c r="R601" s="1417"/>
      <c r="T601" s="55" t="s">
        <v>653</v>
      </c>
      <c r="U601" t="s">
        <v>471</v>
      </c>
      <c r="Z601" s="1417">
        <f>C563</f>
        <v>0</v>
      </c>
      <c r="AA601" s="1417"/>
      <c r="AB601" s="1417"/>
      <c r="AC601" s="1417"/>
      <c r="AD601" s="1417"/>
      <c r="AE601" s="1417"/>
      <c r="AF601" s="1417"/>
      <c r="AG601" s="1417"/>
      <c r="AH601" s="1417"/>
      <c r="AI601" s="1417"/>
      <c r="AJ601" s="1417"/>
      <c r="AK601" s="1417"/>
      <c r="BA601" s="4" t="s">
        <v>30</v>
      </c>
      <c r="BB601" s="3"/>
      <c r="BC601" s="3"/>
      <c r="BD601" s="3"/>
      <c r="BE601" s="1473">
        <f t="shared" si="1"/>
        <v>1</v>
      </c>
      <c r="BF601" s="1475"/>
      <c r="BG601" s="1671">
        <f t="shared" si="2"/>
        <v>7</v>
      </c>
      <c r="BH601" s="1673"/>
      <c r="BI601" s="1473">
        <f t="shared" si="3"/>
        <v>0</v>
      </c>
      <c r="BJ601" s="1475"/>
      <c r="BK601" s="1671">
        <f t="shared" si="4"/>
        <v>0</v>
      </c>
      <c r="BL601" s="1673"/>
      <c r="BM601" s="3"/>
      <c r="BN601" s="1479">
        <f t="shared" si="5"/>
        <v>0</v>
      </c>
      <c r="BO601" s="1480"/>
      <c r="BP601" s="1480"/>
      <c r="BQ601" s="1480"/>
      <c r="BR601" s="1481"/>
      <c r="BS601" s="1478">
        <f t="shared" si="6"/>
        <v>0</v>
      </c>
      <c r="BT601" s="1478"/>
      <c r="BU601" s="1478"/>
      <c r="BV601" s="1478"/>
      <c r="BW601" s="1478"/>
      <c r="BX601" s="1478">
        <f t="shared" si="7"/>
        <v>7</v>
      </c>
      <c r="BY601" s="1478"/>
      <c r="BZ601" s="1478"/>
      <c r="CA601" s="1478"/>
      <c r="CB601" s="1478"/>
      <c r="CC601" s="1478">
        <f t="shared" si="8"/>
        <v>0</v>
      </c>
      <c r="CD601" s="1478"/>
      <c r="CE601" s="1478"/>
      <c r="CF601" s="1478"/>
      <c r="CG601" s="1478"/>
      <c r="CH601" s="1478">
        <f t="shared" si="9"/>
        <v>0</v>
      </c>
      <c r="CI601" s="1478"/>
      <c r="CJ601" s="1478"/>
      <c r="CK601" s="1478"/>
      <c r="CL601" s="1478"/>
      <c r="CM601" s="1478">
        <f t="shared" si="10"/>
        <v>0</v>
      </c>
      <c r="CN601" s="1478"/>
      <c r="CO601" s="1478"/>
      <c r="CP601" s="1478"/>
      <c r="CQ601" s="1478"/>
      <c r="CR601" s="6"/>
      <c r="CS601" s="1496">
        <f t="shared" si="11"/>
        <v>0</v>
      </c>
      <c r="CT601" s="1496"/>
      <c r="CU601" s="1496"/>
      <c r="CV601" s="1496"/>
      <c r="CW601" s="1496"/>
      <c r="CX601" s="1496">
        <f t="shared" si="12"/>
        <v>0</v>
      </c>
      <c r="CY601" s="1496"/>
      <c r="CZ601" s="1496"/>
      <c r="DA601" s="1496"/>
      <c r="DB601" s="1496"/>
      <c r="DC601" s="1496">
        <f t="shared" si="13"/>
        <v>0</v>
      </c>
      <c r="DD601" s="1496"/>
      <c r="DE601" s="1496"/>
      <c r="DF601" s="1496"/>
      <c r="DG601" s="1496"/>
      <c r="DH601" s="1496">
        <f t="shared" si="14"/>
        <v>0</v>
      </c>
      <c r="DI601" s="1496"/>
      <c r="DJ601" s="1496"/>
      <c r="DK601" s="1496"/>
      <c r="DL601" s="1496"/>
      <c r="DM601" s="1496">
        <f t="shared" si="15"/>
        <v>0</v>
      </c>
      <c r="DN601" s="1496"/>
      <c r="DO601" s="1496"/>
      <c r="DP601" s="1496"/>
      <c r="DQ601" s="1496"/>
      <c r="DR601" s="1496">
        <f t="shared" si="16"/>
        <v>0</v>
      </c>
      <c r="DS601" s="1496"/>
      <c r="DT601" s="1496"/>
      <c r="DU601" s="1496"/>
      <c r="DV601" s="1496"/>
      <c r="DX601" s="1473" t="str">
        <f t="shared" si="17"/>
        <v/>
      </c>
      <c r="DY601" s="1474"/>
      <c r="DZ601" s="1474"/>
      <c r="EA601" s="1474"/>
      <c r="EB601" s="1475"/>
      <c r="EC601" s="1473" t="str">
        <f t="shared" si="18"/>
        <v/>
      </c>
      <c r="ED601" s="1474"/>
      <c r="EE601" s="1474"/>
      <c r="EF601" s="1474"/>
      <c r="EG601" s="1475"/>
      <c r="EH601" s="1473">
        <f t="shared" si="19"/>
        <v>1900</v>
      </c>
      <c r="EI601" s="1474"/>
      <c r="EJ601" s="1474"/>
      <c r="EK601" s="1474"/>
      <c r="EL601" s="1475"/>
      <c r="EM601" s="1473" t="str">
        <f t="shared" si="20"/>
        <v/>
      </c>
      <c r="EN601" s="1474"/>
      <c r="EO601" s="1474"/>
      <c r="EP601" s="1474"/>
      <c r="EQ601" s="1475"/>
      <c r="ER601" s="1473" t="str">
        <f t="shared" si="21"/>
        <v/>
      </c>
      <c r="ES601" s="1474"/>
      <c r="ET601" s="1474"/>
      <c r="EU601" s="1474"/>
      <c r="EV601" s="1475"/>
      <c r="EW601" s="1473" t="str">
        <f t="shared" si="22"/>
        <v/>
      </c>
      <c r="EX601" s="1474"/>
      <c r="EY601" s="1474"/>
      <c r="EZ601" s="1474"/>
      <c r="FA601" s="1475"/>
    </row>
    <row r="602" spans="1:157" ht="13.05" customHeight="1">
      <c r="A602" s="22"/>
      <c r="B602" t="s">
        <v>85</v>
      </c>
      <c r="G602" s="1416"/>
      <c r="H602" s="1416"/>
      <c r="I602" s="1416"/>
      <c r="J602" s="1416"/>
      <c r="K602" s="1416"/>
      <c r="L602" s="1416"/>
      <c r="M602" s="1416"/>
      <c r="N602" s="1416"/>
      <c r="O602" s="1416"/>
      <c r="P602" s="1416"/>
      <c r="Q602" s="1416"/>
      <c r="R602" s="1416"/>
      <c r="T602" s="22"/>
      <c r="U602" t="s">
        <v>85</v>
      </c>
      <c r="Z602" s="1416"/>
      <c r="AA602" s="1416"/>
      <c r="AB602" s="1416"/>
      <c r="AC602" s="1416"/>
      <c r="AD602" s="1416"/>
      <c r="AE602" s="1416"/>
      <c r="AF602" s="1416"/>
      <c r="AG602" s="1416"/>
      <c r="AH602" s="1416"/>
      <c r="AI602" s="1416"/>
      <c r="AJ602" s="1416"/>
      <c r="AK602" s="1416"/>
      <c r="AZ602" s="3"/>
      <c r="BA602" s="3"/>
      <c r="BB602" s="3"/>
      <c r="BC602" s="3"/>
      <c r="BD602" s="3"/>
      <c r="BE602" s="1473">
        <f t="shared" si="1"/>
        <v>0</v>
      </c>
      <c r="BF602" s="1475"/>
      <c r="BG602" s="1671">
        <f t="shared" si="2"/>
        <v>0</v>
      </c>
      <c r="BH602" s="1673"/>
      <c r="BI602" s="1473">
        <f t="shared" si="3"/>
        <v>1</v>
      </c>
      <c r="BJ602" s="1475"/>
      <c r="BK602" s="1671">
        <f t="shared" si="4"/>
        <v>8</v>
      </c>
      <c r="BL602" s="1673"/>
      <c r="BM602" s="3"/>
      <c r="BN602" s="1479">
        <f t="shared" si="5"/>
        <v>0</v>
      </c>
      <c r="BO602" s="1480"/>
      <c r="BP602" s="1480"/>
      <c r="BQ602" s="1480"/>
      <c r="BR602" s="1481"/>
      <c r="BS602" s="1478">
        <f t="shared" si="6"/>
        <v>0</v>
      </c>
      <c r="BT602" s="1478"/>
      <c r="BU602" s="1478"/>
      <c r="BV602" s="1478"/>
      <c r="BW602" s="1478"/>
      <c r="BX602" s="1478">
        <f t="shared" si="7"/>
        <v>8</v>
      </c>
      <c r="BY602" s="1478"/>
      <c r="BZ602" s="1478"/>
      <c r="CA602" s="1478"/>
      <c r="CB602" s="1478"/>
      <c r="CC602" s="1478">
        <f t="shared" si="8"/>
        <v>0</v>
      </c>
      <c r="CD602" s="1478"/>
      <c r="CE602" s="1478"/>
      <c r="CF602" s="1478"/>
      <c r="CG602" s="1478"/>
      <c r="CH602" s="1478">
        <f t="shared" si="9"/>
        <v>0</v>
      </c>
      <c r="CI602" s="1478"/>
      <c r="CJ602" s="1478"/>
      <c r="CK602" s="1478"/>
      <c r="CL602" s="1478"/>
      <c r="CM602" s="1478">
        <f t="shared" si="10"/>
        <v>0</v>
      </c>
      <c r="CN602" s="1478"/>
      <c r="CO602" s="1478"/>
      <c r="CP602" s="1478"/>
      <c r="CQ602" s="1478"/>
      <c r="CR602" s="6"/>
      <c r="CS602" s="1496">
        <f t="shared" si="11"/>
        <v>0</v>
      </c>
      <c r="CT602" s="1496"/>
      <c r="CU602" s="1496"/>
      <c r="CV602" s="1496"/>
      <c r="CW602" s="1496"/>
      <c r="CX602" s="1496">
        <f t="shared" si="12"/>
        <v>0</v>
      </c>
      <c r="CY602" s="1496"/>
      <c r="CZ602" s="1496"/>
      <c r="DA602" s="1496"/>
      <c r="DB602" s="1496"/>
      <c r="DC602" s="1496">
        <f t="shared" si="13"/>
        <v>8</v>
      </c>
      <c r="DD602" s="1496"/>
      <c r="DE602" s="1496"/>
      <c r="DF602" s="1496"/>
      <c r="DG602" s="1496"/>
      <c r="DH602" s="1496">
        <f t="shared" si="14"/>
        <v>0</v>
      </c>
      <c r="DI602" s="1496"/>
      <c r="DJ602" s="1496"/>
      <c r="DK602" s="1496"/>
      <c r="DL602" s="1496"/>
      <c r="DM602" s="1496">
        <f t="shared" si="15"/>
        <v>0</v>
      </c>
      <c r="DN602" s="1496"/>
      <c r="DO602" s="1496"/>
      <c r="DP602" s="1496"/>
      <c r="DQ602" s="1496"/>
      <c r="DR602" s="1496">
        <f t="shared" si="16"/>
        <v>0</v>
      </c>
      <c r="DS602" s="1496"/>
      <c r="DT602" s="1496"/>
      <c r="DU602" s="1496"/>
      <c r="DV602" s="1496"/>
      <c r="DX602" s="1473" t="str">
        <f t="shared" si="17"/>
        <v/>
      </c>
      <c r="DY602" s="1474"/>
      <c r="DZ602" s="1474"/>
      <c r="EA602" s="1474"/>
      <c r="EB602" s="1475"/>
      <c r="EC602" s="1473" t="str">
        <f t="shared" si="18"/>
        <v/>
      </c>
      <c r="ED602" s="1474"/>
      <c r="EE602" s="1474"/>
      <c r="EF602" s="1474"/>
      <c r="EG602" s="1475"/>
      <c r="EH602" s="1473">
        <f t="shared" si="19"/>
        <v>1085</v>
      </c>
      <c r="EI602" s="1474"/>
      <c r="EJ602" s="1474"/>
      <c r="EK602" s="1474"/>
      <c r="EL602" s="1475"/>
      <c r="EM602" s="1473" t="str">
        <f t="shared" si="20"/>
        <v/>
      </c>
      <c r="EN602" s="1474"/>
      <c r="EO602" s="1474"/>
      <c r="EP602" s="1474"/>
      <c r="EQ602" s="1475"/>
      <c r="ER602" s="1473" t="str">
        <f t="shared" si="21"/>
        <v/>
      </c>
      <c r="ES602" s="1474"/>
      <c r="ET602" s="1474"/>
      <c r="EU602" s="1474"/>
      <c r="EV602" s="1475"/>
      <c r="EW602" s="1473" t="str">
        <f t="shared" si="22"/>
        <v/>
      </c>
      <c r="EX602" s="1474"/>
      <c r="EY602" s="1474"/>
      <c r="EZ602" s="1474"/>
      <c r="FA602" s="1475"/>
    </row>
    <row r="603" spans="1:157" ht="13.05" customHeight="1">
      <c r="A603" s="22"/>
      <c r="B603" t="s">
        <v>588</v>
      </c>
      <c r="G603" s="1416"/>
      <c r="H603" s="1416"/>
      <c r="I603" s="1416"/>
      <c r="J603" s="1416"/>
      <c r="K603" s="1416"/>
      <c r="L603" s="1416"/>
      <c r="M603" s="1416"/>
      <c r="N603" s="1416"/>
      <c r="O603" s="1416"/>
      <c r="P603" s="1416"/>
      <c r="Q603" s="1416"/>
      <c r="R603" s="1416"/>
      <c r="T603" s="22"/>
      <c r="U603" t="s">
        <v>588</v>
      </c>
      <c r="Z603" s="1411"/>
      <c r="AA603" s="1411"/>
      <c r="AB603" s="1411"/>
      <c r="AC603" s="1411"/>
      <c r="AD603" s="1411"/>
      <c r="AE603" s="1411"/>
      <c r="AF603" s="1411"/>
      <c r="AG603" s="1411"/>
      <c r="AH603" s="1411"/>
      <c r="AI603" s="1411"/>
      <c r="AJ603" s="1411"/>
      <c r="AK603" s="1411"/>
      <c r="AZ603" s="3"/>
      <c r="BA603" s="3"/>
      <c r="BB603" s="3"/>
      <c r="BC603" s="3"/>
      <c r="BD603" s="3"/>
      <c r="BE603" s="1473">
        <f t="shared" si="1"/>
        <v>0</v>
      </c>
      <c r="BF603" s="1475"/>
      <c r="BG603" s="1671">
        <f t="shared" si="2"/>
        <v>0</v>
      </c>
      <c r="BH603" s="1673"/>
      <c r="BI603" s="1473">
        <f t="shared" si="3"/>
        <v>0</v>
      </c>
      <c r="BJ603" s="1475"/>
      <c r="BK603" s="1671">
        <f t="shared" si="4"/>
        <v>0</v>
      </c>
      <c r="BL603" s="1673"/>
      <c r="BM603" s="3"/>
      <c r="BN603" s="1479">
        <f t="shared" si="5"/>
        <v>0</v>
      </c>
      <c r="BO603" s="1480"/>
      <c r="BP603" s="1480"/>
      <c r="BQ603" s="1480"/>
      <c r="BR603" s="1481"/>
      <c r="BS603" s="1478">
        <f t="shared" si="6"/>
        <v>0</v>
      </c>
      <c r="BT603" s="1478"/>
      <c r="BU603" s="1478"/>
      <c r="BV603" s="1478"/>
      <c r="BW603" s="1478"/>
      <c r="BX603" s="1478">
        <f t="shared" si="7"/>
        <v>0</v>
      </c>
      <c r="BY603" s="1478"/>
      <c r="BZ603" s="1478"/>
      <c r="CA603" s="1478"/>
      <c r="CB603" s="1478"/>
      <c r="CC603" s="1478">
        <f t="shared" si="8"/>
        <v>30</v>
      </c>
      <c r="CD603" s="1478"/>
      <c r="CE603" s="1478"/>
      <c r="CF603" s="1478"/>
      <c r="CG603" s="1478"/>
      <c r="CH603" s="1478">
        <f t="shared" si="9"/>
        <v>0</v>
      </c>
      <c r="CI603" s="1478"/>
      <c r="CJ603" s="1478"/>
      <c r="CK603" s="1478"/>
      <c r="CL603" s="1478"/>
      <c r="CM603" s="1478">
        <f t="shared" si="10"/>
        <v>0</v>
      </c>
      <c r="CN603" s="1478"/>
      <c r="CO603" s="1478"/>
      <c r="CP603" s="1478"/>
      <c r="CQ603" s="1478"/>
      <c r="CR603" s="6"/>
      <c r="CS603" s="1496">
        <f t="shared" si="11"/>
        <v>0</v>
      </c>
      <c r="CT603" s="1496"/>
      <c r="CU603" s="1496"/>
      <c r="CV603" s="1496"/>
      <c r="CW603" s="1496"/>
      <c r="CX603" s="1496">
        <f t="shared" si="12"/>
        <v>0</v>
      </c>
      <c r="CY603" s="1496"/>
      <c r="CZ603" s="1496"/>
      <c r="DA603" s="1496"/>
      <c r="DB603" s="1496"/>
      <c r="DC603" s="1496">
        <f t="shared" si="13"/>
        <v>0</v>
      </c>
      <c r="DD603" s="1496"/>
      <c r="DE603" s="1496"/>
      <c r="DF603" s="1496"/>
      <c r="DG603" s="1496"/>
      <c r="DH603" s="1496">
        <f t="shared" si="14"/>
        <v>0</v>
      </c>
      <c r="DI603" s="1496"/>
      <c r="DJ603" s="1496"/>
      <c r="DK603" s="1496"/>
      <c r="DL603" s="1496"/>
      <c r="DM603" s="1496">
        <f t="shared" si="15"/>
        <v>0</v>
      </c>
      <c r="DN603" s="1496"/>
      <c r="DO603" s="1496"/>
      <c r="DP603" s="1496"/>
      <c r="DQ603" s="1496"/>
      <c r="DR603" s="1496">
        <f t="shared" si="16"/>
        <v>0</v>
      </c>
      <c r="DS603" s="1496"/>
      <c r="DT603" s="1496"/>
      <c r="DU603" s="1496"/>
      <c r="DV603" s="1496"/>
      <c r="DX603" s="1473" t="str">
        <f t="shared" si="17"/>
        <v/>
      </c>
      <c r="DY603" s="1474"/>
      <c r="DZ603" s="1474"/>
      <c r="EA603" s="1474"/>
      <c r="EB603" s="1475"/>
      <c r="EC603" s="1473" t="str">
        <f t="shared" si="18"/>
        <v/>
      </c>
      <c r="ED603" s="1474"/>
      <c r="EE603" s="1474"/>
      <c r="EF603" s="1474"/>
      <c r="EG603" s="1475"/>
      <c r="EH603" s="1473" t="str">
        <f t="shared" si="19"/>
        <v/>
      </c>
      <c r="EI603" s="1474"/>
      <c r="EJ603" s="1474"/>
      <c r="EK603" s="1474"/>
      <c r="EL603" s="1475"/>
      <c r="EM603" s="1473">
        <f t="shared" si="20"/>
        <v>2851</v>
      </c>
      <c r="EN603" s="1474"/>
      <c r="EO603" s="1474"/>
      <c r="EP603" s="1474"/>
      <c r="EQ603" s="1475"/>
      <c r="ER603" s="1473" t="str">
        <f t="shared" si="21"/>
        <v/>
      </c>
      <c r="ES603" s="1474"/>
      <c r="ET603" s="1474"/>
      <c r="EU603" s="1474"/>
      <c r="EV603" s="1475"/>
      <c r="EW603" s="1473" t="str">
        <f t="shared" si="22"/>
        <v/>
      </c>
      <c r="EX603" s="1474"/>
      <c r="EY603" s="1474"/>
      <c r="EZ603" s="1474"/>
      <c r="FA603" s="1475"/>
    </row>
    <row r="604" spans="1:157" ht="13.05" customHeight="1">
      <c r="A604" s="22"/>
      <c r="B604" t="s">
        <v>17</v>
      </c>
      <c r="G604" s="1416"/>
      <c r="H604" s="1416"/>
      <c r="I604" s="1416"/>
      <c r="J604" s="1416"/>
      <c r="K604" s="1416"/>
      <c r="L604" s="1416"/>
      <c r="M604" s="1416"/>
      <c r="N604" s="1416"/>
      <c r="O604" s="1416"/>
      <c r="P604" s="1416"/>
      <c r="Q604" s="1416"/>
      <c r="R604" s="1416"/>
      <c r="T604" s="22"/>
      <c r="U604" t="s">
        <v>17</v>
      </c>
      <c r="Z604" s="1411"/>
      <c r="AA604" s="1411"/>
      <c r="AB604" s="1411"/>
      <c r="AC604" s="1411"/>
      <c r="AD604" s="1411"/>
      <c r="AE604" s="1411"/>
      <c r="AF604" s="1411"/>
      <c r="AG604" s="1411"/>
      <c r="AH604" s="1411"/>
      <c r="AI604" s="1411"/>
      <c r="AJ604" s="1411"/>
      <c r="AK604" s="1411"/>
      <c r="AZ604" s="3"/>
      <c r="BA604" s="3"/>
      <c r="BB604" s="3"/>
      <c r="BC604" s="3"/>
      <c r="BD604" s="3"/>
      <c r="BE604" s="1473">
        <f t="shared" si="1"/>
        <v>1</v>
      </c>
      <c r="BF604" s="1475"/>
      <c r="BG604" s="1671">
        <f t="shared" si="2"/>
        <v>3</v>
      </c>
      <c r="BH604" s="1673"/>
      <c r="BI604" s="1473">
        <f t="shared" si="3"/>
        <v>0</v>
      </c>
      <c r="BJ604" s="1475"/>
      <c r="BK604" s="1671">
        <f t="shared" si="4"/>
        <v>0</v>
      </c>
      <c r="BL604" s="1673"/>
      <c r="BM604" s="3"/>
      <c r="BN604" s="1479">
        <f t="shared" si="5"/>
        <v>0</v>
      </c>
      <c r="BO604" s="1480"/>
      <c r="BP604" s="1480"/>
      <c r="BQ604" s="1480"/>
      <c r="BR604" s="1481"/>
      <c r="BS604" s="1478">
        <f t="shared" si="6"/>
        <v>0</v>
      </c>
      <c r="BT604" s="1478"/>
      <c r="BU604" s="1478"/>
      <c r="BV604" s="1478"/>
      <c r="BW604" s="1478"/>
      <c r="BX604" s="1478">
        <f t="shared" si="7"/>
        <v>0</v>
      </c>
      <c r="BY604" s="1478"/>
      <c r="BZ604" s="1478"/>
      <c r="CA604" s="1478"/>
      <c r="CB604" s="1478"/>
      <c r="CC604" s="1478">
        <f t="shared" si="8"/>
        <v>3</v>
      </c>
      <c r="CD604" s="1478"/>
      <c r="CE604" s="1478"/>
      <c r="CF604" s="1478"/>
      <c r="CG604" s="1478"/>
      <c r="CH604" s="1478">
        <f t="shared" si="9"/>
        <v>0</v>
      </c>
      <c r="CI604" s="1478"/>
      <c r="CJ604" s="1478"/>
      <c r="CK604" s="1478"/>
      <c r="CL604" s="1478"/>
      <c r="CM604" s="1478">
        <f t="shared" si="10"/>
        <v>0</v>
      </c>
      <c r="CN604" s="1478"/>
      <c r="CO604" s="1478"/>
      <c r="CP604" s="1478"/>
      <c r="CQ604" s="1478"/>
      <c r="CR604" s="6"/>
      <c r="CS604" s="1496">
        <f t="shared" si="11"/>
        <v>0</v>
      </c>
      <c r="CT604" s="1496"/>
      <c r="CU604" s="1496"/>
      <c r="CV604" s="1496"/>
      <c r="CW604" s="1496"/>
      <c r="CX604" s="1496">
        <f t="shared" si="12"/>
        <v>0</v>
      </c>
      <c r="CY604" s="1496"/>
      <c r="CZ604" s="1496"/>
      <c r="DA604" s="1496"/>
      <c r="DB604" s="1496"/>
      <c r="DC604" s="1496">
        <f t="shared" si="13"/>
        <v>0</v>
      </c>
      <c r="DD604" s="1496"/>
      <c r="DE604" s="1496"/>
      <c r="DF604" s="1496"/>
      <c r="DG604" s="1496"/>
      <c r="DH604" s="1496">
        <f t="shared" si="14"/>
        <v>0</v>
      </c>
      <c r="DI604" s="1496"/>
      <c r="DJ604" s="1496"/>
      <c r="DK604" s="1496"/>
      <c r="DL604" s="1496"/>
      <c r="DM604" s="1496">
        <f t="shared" si="15"/>
        <v>0</v>
      </c>
      <c r="DN604" s="1496"/>
      <c r="DO604" s="1496"/>
      <c r="DP604" s="1496"/>
      <c r="DQ604" s="1496"/>
      <c r="DR604" s="1496">
        <f t="shared" si="16"/>
        <v>0</v>
      </c>
      <c r="DS604" s="1496"/>
      <c r="DT604" s="1496"/>
      <c r="DU604" s="1496"/>
      <c r="DV604" s="1496"/>
      <c r="DX604" s="1473" t="str">
        <f t="shared" si="17"/>
        <v/>
      </c>
      <c r="DY604" s="1474"/>
      <c r="DZ604" s="1474"/>
      <c r="EA604" s="1474"/>
      <c r="EB604" s="1475"/>
      <c r="EC604" s="1473" t="str">
        <f t="shared" si="18"/>
        <v/>
      </c>
      <c r="ED604" s="1474"/>
      <c r="EE604" s="1474"/>
      <c r="EF604" s="1474"/>
      <c r="EG604" s="1475"/>
      <c r="EH604" s="1473" t="str">
        <f t="shared" si="19"/>
        <v/>
      </c>
      <c r="EI604" s="1474"/>
      <c r="EJ604" s="1474"/>
      <c r="EK604" s="1474"/>
      <c r="EL604" s="1475"/>
      <c r="EM604" s="1473">
        <f t="shared" si="20"/>
        <v>2177</v>
      </c>
      <c r="EN604" s="1474"/>
      <c r="EO604" s="1474"/>
      <c r="EP604" s="1474"/>
      <c r="EQ604" s="1475"/>
      <c r="ER604" s="1473" t="str">
        <f t="shared" si="21"/>
        <v/>
      </c>
      <c r="ES604" s="1474"/>
      <c r="ET604" s="1474"/>
      <c r="EU604" s="1474"/>
      <c r="EV604" s="1475"/>
      <c r="EW604" s="1473" t="str">
        <f t="shared" si="22"/>
        <v/>
      </c>
      <c r="EX604" s="1474"/>
      <c r="EY604" s="1474"/>
      <c r="EZ604" s="1474"/>
      <c r="FA604" s="1475"/>
    </row>
    <row r="605" spans="1:157" s="4" customFormat="1" ht="13.05" customHeight="1">
      <c r="A605" s="22"/>
      <c r="B605" t="s">
        <v>317</v>
      </c>
      <c r="C605"/>
      <c r="D605"/>
      <c r="E605"/>
      <c r="F605"/>
      <c r="G605" s="1477"/>
      <c r="H605" s="1477"/>
      <c r="I605" s="1477"/>
      <c r="J605" s="1477"/>
      <c r="K605" s="1477"/>
      <c r="L605" s="1477"/>
      <c r="M605"/>
      <c r="N605"/>
      <c r="O605" s="33" t="s">
        <v>207</v>
      </c>
      <c r="P605" s="1441"/>
      <c r="Q605" s="1441"/>
      <c r="R605" s="1441"/>
      <c r="S605"/>
      <c r="T605" s="22"/>
      <c r="U605" t="s">
        <v>317</v>
      </c>
      <c r="V605"/>
      <c r="W605"/>
      <c r="X605"/>
      <c r="Y605"/>
      <c r="Z605" s="1477"/>
      <c r="AA605" s="1477"/>
      <c r="AB605" s="1477"/>
      <c r="AC605" s="1477"/>
      <c r="AD605" s="1477"/>
      <c r="AE605" s="1477"/>
      <c r="AF605"/>
      <c r="AG605"/>
      <c r="AH605" s="33" t="s">
        <v>207</v>
      </c>
      <c r="AI605" s="1441"/>
      <c r="AJ605" s="1441"/>
      <c r="AK605" s="1441"/>
      <c r="AL605"/>
      <c r="AM605"/>
      <c r="AN605"/>
      <c r="AO605"/>
      <c r="AP605"/>
      <c r="AQ605"/>
      <c r="AR605"/>
      <c r="AS605"/>
      <c r="AT605"/>
      <c r="AU605"/>
      <c r="AV605"/>
      <c r="AW605"/>
      <c r="AX605"/>
      <c r="AY605"/>
      <c r="AZ605" s="3"/>
      <c r="BA605" s="3"/>
      <c r="BB605" s="3"/>
      <c r="BC605" s="3"/>
      <c r="BD605" s="3"/>
      <c r="BE605" s="1473">
        <f t="shared" si="1"/>
        <v>1</v>
      </c>
      <c r="BF605" s="1475"/>
      <c r="BG605" s="1671">
        <f t="shared" si="2"/>
        <v>1</v>
      </c>
      <c r="BH605" s="1673"/>
      <c r="BI605" s="1473">
        <f t="shared" si="3"/>
        <v>0</v>
      </c>
      <c r="BJ605" s="1475"/>
      <c r="BK605" s="1671">
        <f t="shared" si="4"/>
        <v>0</v>
      </c>
      <c r="BL605" s="1673"/>
      <c r="BM605" s="3"/>
      <c r="BN605" s="1479">
        <f t="shared" si="5"/>
        <v>0</v>
      </c>
      <c r="BO605" s="1480"/>
      <c r="BP605" s="1480"/>
      <c r="BQ605" s="1480"/>
      <c r="BR605" s="1481"/>
      <c r="BS605" s="1478">
        <f t="shared" si="6"/>
        <v>0</v>
      </c>
      <c r="BT605" s="1478"/>
      <c r="BU605" s="1478"/>
      <c r="BV605" s="1478"/>
      <c r="BW605" s="1478"/>
      <c r="BX605" s="1478">
        <f t="shared" si="7"/>
        <v>0</v>
      </c>
      <c r="BY605" s="1478"/>
      <c r="BZ605" s="1478"/>
      <c r="CA605" s="1478"/>
      <c r="CB605" s="1478"/>
      <c r="CC605" s="1478">
        <f t="shared" si="8"/>
        <v>1</v>
      </c>
      <c r="CD605" s="1478"/>
      <c r="CE605" s="1478"/>
      <c r="CF605" s="1478"/>
      <c r="CG605" s="1478"/>
      <c r="CH605" s="1478">
        <f t="shared" si="9"/>
        <v>0</v>
      </c>
      <c r="CI605" s="1478"/>
      <c r="CJ605" s="1478"/>
      <c r="CK605" s="1478"/>
      <c r="CL605" s="1478"/>
      <c r="CM605" s="1478">
        <f t="shared" si="10"/>
        <v>0</v>
      </c>
      <c r="CN605" s="1478"/>
      <c r="CO605" s="1478"/>
      <c r="CP605" s="1478"/>
      <c r="CQ605" s="1478"/>
      <c r="CR605" s="6"/>
      <c r="CS605" s="1496">
        <f t="shared" si="11"/>
        <v>0</v>
      </c>
      <c r="CT605" s="1496"/>
      <c r="CU605" s="1496"/>
      <c r="CV605" s="1496"/>
      <c r="CW605" s="1496"/>
      <c r="CX605" s="1496">
        <f t="shared" si="12"/>
        <v>0</v>
      </c>
      <c r="CY605" s="1496"/>
      <c r="CZ605" s="1496"/>
      <c r="DA605" s="1496"/>
      <c r="DB605" s="1496"/>
      <c r="DC605" s="1496">
        <f t="shared" si="13"/>
        <v>0</v>
      </c>
      <c r="DD605" s="1496"/>
      <c r="DE605" s="1496"/>
      <c r="DF605" s="1496"/>
      <c r="DG605" s="1496"/>
      <c r="DH605" s="1496">
        <f t="shared" si="14"/>
        <v>0</v>
      </c>
      <c r="DI605" s="1496"/>
      <c r="DJ605" s="1496"/>
      <c r="DK605" s="1496"/>
      <c r="DL605" s="1496"/>
      <c r="DM605" s="1496">
        <f t="shared" si="15"/>
        <v>0</v>
      </c>
      <c r="DN605" s="1496"/>
      <c r="DO605" s="1496"/>
      <c r="DP605" s="1496"/>
      <c r="DQ605" s="1496"/>
      <c r="DR605" s="1496">
        <f t="shared" si="16"/>
        <v>0</v>
      </c>
      <c r="DS605" s="1496"/>
      <c r="DT605" s="1496"/>
      <c r="DU605" s="1496"/>
      <c r="DV605" s="1496"/>
      <c r="DX605" s="1473" t="str">
        <f t="shared" si="17"/>
        <v/>
      </c>
      <c r="DY605" s="1474"/>
      <c r="DZ605" s="1474"/>
      <c r="EA605" s="1474"/>
      <c r="EB605" s="1475"/>
      <c r="EC605" s="1473" t="str">
        <f t="shared" si="18"/>
        <v/>
      </c>
      <c r="ED605" s="1474"/>
      <c r="EE605" s="1474"/>
      <c r="EF605" s="1474"/>
      <c r="EG605" s="1475"/>
      <c r="EH605" s="1473" t="str">
        <f t="shared" si="19"/>
        <v/>
      </c>
      <c r="EI605" s="1474"/>
      <c r="EJ605" s="1474"/>
      <c r="EK605" s="1474"/>
      <c r="EL605" s="1475"/>
      <c r="EM605" s="1473">
        <f t="shared" si="20"/>
        <v>2177</v>
      </c>
      <c r="EN605" s="1474"/>
      <c r="EO605" s="1474"/>
      <c r="EP605" s="1474"/>
      <c r="EQ605" s="1475"/>
      <c r="ER605" s="1473" t="str">
        <f t="shared" si="21"/>
        <v/>
      </c>
      <c r="ES605" s="1474"/>
      <c r="ET605" s="1474"/>
      <c r="EU605" s="1474"/>
      <c r="EV605" s="1475"/>
      <c r="EW605" s="1473" t="str">
        <f t="shared" si="22"/>
        <v/>
      </c>
      <c r="EX605" s="1474"/>
      <c r="EY605" s="1474"/>
      <c r="EZ605" s="1474"/>
      <c r="FA605" s="1475"/>
    </row>
    <row r="606" spans="1:157" s="4" customFormat="1" ht="13.05" customHeight="1">
      <c r="A606" s="22"/>
      <c r="B606" t="s">
        <v>18</v>
      </c>
      <c r="C606"/>
      <c r="D606"/>
      <c r="E606"/>
      <c r="F606"/>
      <c r="G606"/>
      <c r="H606" s="1416"/>
      <c r="I606" s="1416"/>
      <c r="J606" s="1416"/>
      <c r="K606" s="1416"/>
      <c r="L606" s="1416"/>
      <c r="M606" s="1416"/>
      <c r="N606" s="1416"/>
      <c r="O606" s="1416"/>
      <c r="P606" s="1416"/>
      <c r="Q606" s="1416"/>
      <c r="R606" s="1416"/>
      <c r="S606"/>
      <c r="T606" s="22"/>
      <c r="U606" t="s">
        <v>18</v>
      </c>
      <c r="V606"/>
      <c r="W606"/>
      <c r="X606"/>
      <c r="Y606"/>
      <c r="Z606"/>
      <c r="AA606" s="1416"/>
      <c r="AB606" s="1416"/>
      <c r="AC606" s="1416"/>
      <c r="AD606" s="1416"/>
      <c r="AE606" s="1416"/>
      <c r="AF606" s="1416"/>
      <c r="AG606" s="1416"/>
      <c r="AH606" s="1416"/>
      <c r="AI606" s="1416"/>
      <c r="AJ606" s="1416"/>
      <c r="AK606" s="1416"/>
      <c r="AL606"/>
      <c r="AM606"/>
      <c r="AN606"/>
      <c r="AO606"/>
      <c r="AP606"/>
      <c r="AQ606"/>
      <c r="AR606"/>
      <c r="AS606"/>
      <c r="AT606"/>
      <c r="AU606"/>
      <c r="AV606"/>
      <c r="AW606"/>
      <c r="AX606"/>
      <c r="AY606"/>
      <c r="AZ606" s="3"/>
      <c r="BA606" s="3"/>
      <c r="BB606" s="3"/>
      <c r="BC606" s="3"/>
      <c r="BD606" s="3"/>
      <c r="BE606" s="1473">
        <f t="shared" si="1"/>
        <v>0</v>
      </c>
      <c r="BF606" s="1475"/>
      <c r="BG606" s="1671">
        <f t="shared" si="2"/>
        <v>0</v>
      </c>
      <c r="BH606" s="1673"/>
      <c r="BI606" s="1473">
        <f t="shared" si="3"/>
        <v>1</v>
      </c>
      <c r="BJ606" s="1475"/>
      <c r="BK606" s="1671">
        <f t="shared" si="4"/>
        <v>4</v>
      </c>
      <c r="BL606" s="1673"/>
      <c r="BM606" s="3"/>
      <c r="BN606" s="1479">
        <f t="shared" si="5"/>
        <v>0</v>
      </c>
      <c r="BO606" s="1480"/>
      <c r="BP606" s="1480"/>
      <c r="BQ606" s="1480"/>
      <c r="BR606" s="1481"/>
      <c r="BS606" s="1478">
        <f t="shared" si="6"/>
        <v>0</v>
      </c>
      <c r="BT606" s="1478"/>
      <c r="BU606" s="1478"/>
      <c r="BV606" s="1478"/>
      <c r="BW606" s="1478"/>
      <c r="BX606" s="1478">
        <f t="shared" si="7"/>
        <v>0</v>
      </c>
      <c r="BY606" s="1478"/>
      <c r="BZ606" s="1478"/>
      <c r="CA606" s="1478"/>
      <c r="CB606" s="1478"/>
      <c r="CC606" s="1478">
        <f t="shared" si="8"/>
        <v>4</v>
      </c>
      <c r="CD606" s="1478"/>
      <c r="CE606" s="1478"/>
      <c r="CF606" s="1478"/>
      <c r="CG606" s="1478"/>
      <c r="CH606" s="1478">
        <f t="shared" si="9"/>
        <v>0</v>
      </c>
      <c r="CI606" s="1478"/>
      <c r="CJ606" s="1478"/>
      <c r="CK606" s="1478"/>
      <c r="CL606" s="1478"/>
      <c r="CM606" s="1478">
        <f t="shared" si="10"/>
        <v>0</v>
      </c>
      <c r="CN606" s="1478"/>
      <c r="CO606" s="1478"/>
      <c r="CP606" s="1478"/>
      <c r="CQ606" s="1478"/>
      <c r="CR606" s="6"/>
      <c r="CS606" s="1496">
        <f t="shared" si="11"/>
        <v>0</v>
      </c>
      <c r="CT606" s="1496"/>
      <c r="CU606" s="1496"/>
      <c r="CV606" s="1496"/>
      <c r="CW606" s="1496"/>
      <c r="CX606" s="1496">
        <f t="shared" si="12"/>
        <v>0</v>
      </c>
      <c r="CY606" s="1496"/>
      <c r="CZ606" s="1496"/>
      <c r="DA606" s="1496"/>
      <c r="DB606" s="1496"/>
      <c r="DC606" s="1496">
        <f t="shared" si="13"/>
        <v>0</v>
      </c>
      <c r="DD606" s="1496"/>
      <c r="DE606" s="1496"/>
      <c r="DF606" s="1496"/>
      <c r="DG606" s="1496"/>
      <c r="DH606" s="1496">
        <f t="shared" si="14"/>
        <v>4</v>
      </c>
      <c r="DI606" s="1496"/>
      <c r="DJ606" s="1496"/>
      <c r="DK606" s="1496"/>
      <c r="DL606" s="1496"/>
      <c r="DM606" s="1496">
        <f t="shared" si="15"/>
        <v>0</v>
      </c>
      <c r="DN606" s="1496"/>
      <c r="DO606" s="1496"/>
      <c r="DP606" s="1496"/>
      <c r="DQ606" s="1496"/>
      <c r="DR606" s="1496">
        <f t="shared" si="16"/>
        <v>0</v>
      </c>
      <c r="DS606" s="1496"/>
      <c r="DT606" s="1496"/>
      <c r="DU606" s="1496"/>
      <c r="DV606" s="1496"/>
      <c r="DX606" s="1473" t="str">
        <f t="shared" si="17"/>
        <v/>
      </c>
      <c r="DY606" s="1474"/>
      <c r="DZ606" s="1474"/>
      <c r="EA606" s="1474"/>
      <c r="EB606" s="1475"/>
      <c r="EC606" s="1473" t="str">
        <f t="shared" si="18"/>
        <v/>
      </c>
      <c r="ED606" s="1474"/>
      <c r="EE606" s="1474"/>
      <c r="EF606" s="1474"/>
      <c r="EG606" s="1475"/>
      <c r="EH606" s="1473" t="str">
        <f t="shared" si="19"/>
        <v/>
      </c>
      <c r="EI606" s="1474"/>
      <c r="EJ606" s="1474"/>
      <c r="EK606" s="1474"/>
      <c r="EL606" s="1475"/>
      <c r="EM606" s="1473">
        <f t="shared" si="20"/>
        <v>1235</v>
      </c>
      <c r="EN606" s="1474"/>
      <c r="EO606" s="1474"/>
      <c r="EP606" s="1474"/>
      <c r="EQ606" s="1475"/>
      <c r="ER606" s="1473" t="str">
        <f t="shared" si="21"/>
        <v/>
      </c>
      <c r="ES606" s="1474"/>
      <c r="ET606" s="1474"/>
      <c r="EU606" s="1474"/>
      <c r="EV606" s="1475"/>
      <c r="EW606" s="1473" t="str">
        <f t="shared" si="22"/>
        <v/>
      </c>
      <c r="EX606" s="1474"/>
      <c r="EY606" s="1474"/>
      <c r="EZ606" s="1474"/>
      <c r="FA606" s="1475"/>
    </row>
    <row r="607" spans="1:157" s="4" customFormat="1" ht="13.05" customHeight="1">
      <c r="A607" s="22"/>
      <c r="B607" t="s">
        <v>20</v>
      </c>
      <c r="C607"/>
      <c r="D607"/>
      <c r="E607"/>
      <c r="F607"/>
      <c r="G607"/>
      <c r="H607"/>
      <c r="I607"/>
      <c r="J607"/>
      <c r="K607"/>
      <c r="L607"/>
      <c r="M607"/>
      <c r="N607" s="1415" t="s">
        <v>676</v>
      </c>
      <c r="O607" s="1415"/>
      <c r="P607"/>
      <c r="Q607"/>
      <c r="R607"/>
      <c r="S607"/>
      <c r="T607" s="22"/>
      <c r="U607" t="s">
        <v>20</v>
      </c>
      <c r="V607"/>
      <c r="W607"/>
      <c r="X607"/>
      <c r="Y607"/>
      <c r="Z607"/>
      <c r="AA607"/>
      <c r="AB607"/>
      <c r="AC607"/>
      <c r="AD607"/>
      <c r="AE607"/>
      <c r="AF607"/>
      <c r="AG607" s="1415" t="s">
        <v>676</v>
      </c>
      <c r="AH607" s="1415"/>
      <c r="AI607"/>
      <c r="AJ607"/>
      <c r="AK607"/>
      <c r="AL607"/>
      <c r="AM607"/>
      <c r="AN607"/>
      <c r="AO607"/>
      <c r="AP607"/>
      <c r="AQ607"/>
      <c r="AR607"/>
      <c r="AS607"/>
      <c r="AT607"/>
      <c r="AU607"/>
      <c r="AV607"/>
      <c r="AW607"/>
      <c r="AX607"/>
      <c r="AY607"/>
      <c r="AZ607" s="3"/>
      <c r="BA607" s="3"/>
      <c r="BB607" s="3"/>
      <c r="BC607" s="3"/>
      <c r="BD607" s="3"/>
      <c r="BE607" s="1473">
        <f t="shared" si="1"/>
        <v>0</v>
      </c>
      <c r="BF607" s="1475"/>
      <c r="BG607" s="1671">
        <f t="shared" si="2"/>
        <v>0</v>
      </c>
      <c r="BH607" s="1673"/>
      <c r="BI607" s="1473">
        <f t="shared" si="3"/>
        <v>0</v>
      </c>
      <c r="BJ607" s="1475"/>
      <c r="BK607" s="1671">
        <f t="shared" si="4"/>
        <v>0</v>
      </c>
      <c r="BL607" s="1673"/>
      <c r="BM607" s="3"/>
      <c r="BN607" s="1479">
        <f t="shared" si="5"/>
        <v>0</v>
      </c>
      <c r="BO607" s="1480"/>
      <c r="BP607" s="1480"/>
      <c r="BQ607" s="1480"/>
      <c r="BR607" s="1481"/>
      <c r="BS607" s="1478">
        <f t="shared" si="6"/>
        <v>0</v>
      </c>
      <c r="BT607" s="1478"/>
      <c r="BU607" s="1478"/>
      <c r="BV607" s="1478"/>
      <c r="BW607" s="1478"/>
      <c r="BX607" s="1478">
        <f t="shared" si="7"/>
        <v>0</v>
      </c>
      <c r="BY607" s="1478"/>
      <c r="BZ607" s="1478"/>
      <c r="CA607" s="1478"/>
      <c r="CB607" s="1478"/>
      <c r="CC607" s="1478">
        <f t="shared" si="8"/>
        <v>0</v>
      </c>
      <c r="CD607" s="1478"/>
      <c r="CE607" s="1478"/>
      <c r="CF607" s="1478"/>
      <c r="CG607" s="1478"/>
      <c r="CH607" s="1478">
        <f t="shared" si="9"/>
        <v>0</v>
      </c>
      <c r="CI607" s="1478"/>
      <c r="CJ607" s="1478"/>
      <c r="CK607" s="1478"/>
      <c r="CL607" s="1478"/>
      <c r="CM607" s="1478">
        <f t="shared" si="10"/>
        <v>0</v>
      </c>
      <c r="CN607" s="1478"/>
      <c r="CO607" s="1478"/>
      <c r="CP607" s="1478"/>
      <c r="CQ607" s="1478"/>
      <c r="CR607" s="6"/>
      <c r="CS607" s="1496">
        <f t="shared" si="11"/>
        <v>0</v>
      </c>
      <c r="CT607" s="1496"/>
      <c r="CU607" s="1496"/>
      <c r="CV607" s="1496"/>
      <c r="CW607" s="1496"/>
      <c r="CX607" s="1496">
        <f t="shared" si="12"/>
        <v>0</v>
      </c>
      <c r="CY607" s="1496"/>
      <c r="CZ607" s="1496"/>
      <c r="DA607" s="1496"/>
      <c r="DB607" s="1496"/>
      <c r="DC607" s="1496">
        <f t="shared" si="13"/>
        <v>0</v>
      </c>
      <c r="DD607" s="1496"/>
      <c r="DE607" s="1496"/>
      <c r="DF607" s="1496"/>
      <c r="DG607" s="1496"/>
      <c r="DH607" s="1496">
        <f t="shared" si="14"/>
        <v>0</v>
      </c>
      <c r="DI607" s="1496"/>
      <c r="DJ607" s="1496"/>
      <c r="DK607" s="1496"/>
      <c r="DL607" s="1496"/>
      <c r="DM607" s="1496">
        <f t="shared" si="15"/>
        <v>0</v>
      </c>
      <c r="DN607" s="1496"/>
      <c r="DO607" s="1496"/>
      <c r="DP607" s="1496"/>
      <c r="DQ607" s="1496"/>
      <c r="DR607" s="1496">
        <f t="shared" si="16"/>
        <v>0</v>
      </c>
      <c r="DS607" s="1496"/>
      <c r="DT607" s="1496"/>
      <c r="DU607" s="1496"/>
      <c r="DV607" s="1496"/>
      <c r="DX607" s="1473" t="str">
        <f t="shared" si="17"/>
        <v/>
      </c>
      <c r="DY607" s="1474"/>
      <c r="DZ607" s="1474"/>
      <c r="EA607" s="1474"/>
      <c r="EB607" s="1475"/>
      <c r="EC607" s="1473" t="str">
        <f t="shared" si="18"/>
        <v/>
      </c>
      <c r="ED607" s="1474"/>
      <c r="EE607" s="1474"/>
      <c r="EF607" s="1474"/>
      <c r="EG607" s="1475"/>
      <c r="EH607" s="1473" t="str">
        <f t="shared" si="19"/>
        <v/>
      </c>
      <c r="EI607" s="1474"/>
      <c r="EJ607" s="1474"/>
      <c r="EK607" s="1474"/>
      <c r="EL607" s="1475"/>
      <c r="EM607" s="1473" t="str">
        <f t="shared" si="20"/>
        <v/>
      </c>
      <c r="EN607" s="1474"/>
      <c r="EO607" s="1474"/>
      <c r="EP607" s="1474"/>
      <c r="EQ607" s="1475"/>
      <c r="ER607" s="1473" t="str">
        <f t="shared" si="21"/>
        <v/>
      </c>
      <c r="ES607" s="1474"/>
      <c r="ET607" s="1474"/>
      <c r="EU607" s="1474"/>
      <c r="EV607" s="1475"/>
      <c r="EW607" s="1473" t="str">
        <f t="shared" si="22"/>
        <v/>
      </c>
      <c r="EX607" s="1474"/>
      <c r="EY607" s="1474"/>
      <c r="EZ607" s="1474"/>
      <c r="FA607" s="1475"/>
    </row>
    <row r="608" spans="1:157" ht="13.05" customHeight="1">
      <c r="A608" s="22"/>
      <c r="T608" s="22"/>
      <c r="AZ608" s="3"/>
      <c r="BA608" s="3"/>
      <c r="BB608" s="3"/>
      <c r="BC608" s="3"/>
      <c r="BD608" s="3"/>
      <c r="BE608" s="1473">
        <f t="shared" si="1"/>
        <v>0</v>
      </c>
      <c r="BF608" s="1475"/>
      <c r="BG608" s="1671">
        <f t="shared" si="2"/>
        <v>0</v>
      </c>
      <c r="BH608" s="1673"/>
      <c r="BI608" s="1473">
        <f t="shared" si="3"/>
        <v>0</v>
      </c>
      <c r="BJ608" s="1475"/>
      <c r="BK608" s="1671">
        <f t="shared" si="4"/>
        <v>0</v>
      </c>
      <c r="BL608" s="1673"/>
      <c r="BM608" s="3"/>
      <c r="BN608" s="1479">
        <f t="shared" si="5"/>
        <v>0</v>
      </c>
      <c r="BO608" s="1480"/>
      <c r="BP608" s="1480"/>
      <c r="BQ608" s="1480"/>
      <c r="BR608" s="1481"/>
      <c r="BS608" s="1478">
        <f t="shared" si="6"/>
        <v>0</v>
      </c>
      <c r="BT608" s="1478"/>
      <c r="BU608" s="1478"/>
      <c r="BV608" s="1478"/>
      <c r="BW608" s="1478"/>
      <c r="BX608" s="1478">
        <f t="shared" si="7"/>
        <v>0</v>
      </c>
      <c r="BY608" s="1478"/>
      <c r="BZ608" s="1478"/>
      <c r="CA608" s="1478"/>
      <c r="CB608" s="1478"/>
      <c r="CC608" s="1478">
        <f t="shared" si="8"/>
        <v>0</v>
      </c>
      <c r="CD608" s="1478"/>
      <c r="CE608" s="1478"/>
      <c r="CF608" s="1478"/>
      <c r="CG608" s="1478"/>
      <c r="CH608" s="1478">
        <f t="shared" si="9"/>
        <v>0</v>
      </c>
      <c r="CI608" s="1478"/>
      <c r="CJ608" s="1478"/>
      <c r="CK608" s="1478"/>
      <c r="CL608" s="1478"/>
      <c r="CM608" s="1478">
        <f t="shared" si="10"/>
        <v>0</v>
      </c>
      <c r="CN608" s="1478"/>
      <c r="CO608" s="1478"/>
      <c r="CP608" s="1478"/>
      <c r="CQ608" s="1478"/>
      <c r="CR608" s="6"/>
      <c r="CS608" s="1496">
        <f t="shared" si="11"/>
        <v>0</v>
      </c>
      <c r="CT608" s="1496"/>
      <c r="CU608" s="1496"/>
      <c r="CV608" s="1496"/>
      <c r="CW608" s="1496"/>
      <c r="CX608" s="1496">
        <f t="shared" si="12"/>
        <v>0</v>
      </c>
      <c r="CY608" s="1496"/>
      <c r="CZ608" s="1496"/>
      <c r="DA608" s="1496"/>
      <c r="DB608" s="1496"/>
      <c r="DC608" s="1496">
        <f t="shared" si="13"/>
        <v>0</v>
      </c>
      <c r="DD608" s="1496"/>
      <c r="DE608" s="1496"/>
      <c r="DF608" s="1496"/>
      <c r="DG608" s="1496"/>
      <c r="DH608" s="1496">
        <f t="shared" si="14"/>
        <v>0</v>
      </c>
      <c r="DI608" s="1496"/>
      <c r="DJ608" s="1496"/>
      <c r="DK608" s="1496"/>
      <c r="DL608" s="1496"/>
      <c r="DM608" s="1496">
        <f t="shared" si="15"/>
        <v>0</v>
      </c>
      <c r="DN608" s="1496"/>
      <c r="DO608" s="1496"/>
      <c r="DP608" s="1496"/>
      <c r="DQ608" s="1496"/>
      <c r="DR608" s="1496">
        <f t="shared" si="16"/>
        <v>0</v>
      </c>
      <c r="DS608" s="1496"/>
      <c r="DT608" s="1496"/>
      <c r="DU608" s="1496"/>
      <c r="DV608" s="1496"/>
      <c r="DX608" s="1473" t="str">
        <f t="shared" si="17"/>
        <v/>
      </c>
      <c r="DY608" s="1474"/>
      <c r="DZ608" s="1474"/>
      <c r="EA608" s="1474"/>
      <c r="EB608" s="1475"/>
      <c r="EC608" s="1473" t="str">
        <f t="shared" si="18"/>
        <v/>
      </c>
      <c r="ED608" s="1474"/>
      <c r="EE608" s="1474"/>
      <c r="EF608" s="1474"/>
      <c r="EG608" s="1475"/>
      <c r="EH608" s="1473" t="str">
        <f t="shared" si="19"/>
        <v/>
      </c>
      <c r="EI608" s="1474"/>
      <c r="EJ608" s="1474"/>
      <c r="EK608" s="1474"/>
      <c r="EL608" s="1475"/>
      <c r="EM608" s="1473" t="str">
        <f t="shared" si="20"/>
        <v/>
      </c>
      <c r="EN608" s="1474"/>
      <c r="EO608" s="1474"/>
      <c r="EP608" s="1474"/>
      <c r="EQ608" s="1475"/>
      <c r="ER608" s="1473" t="str">
        <f t="shared" si="21"/>
        <v/>
      </c>
      <c r="ES608" s="1474"/>
      <c r="ET608" s="1474"/>
      <c r="EU608" s="1474"/>
      <c r="EV608" s="1475"/>
      <c r="EW608" s="1473" t="str">
        <f t="shared" si="22"/>
        <v/>
      </c>
      <c r="EX608" s="1474"/>
      <c r="EY608" s="1474"/>
      <c r="EZ608" s="1474"/>
      <c r="FA608" s="1475"/>
    </row>
    <row r="609" spans="1:157" ht="13.05" customHeight="1">
      <c r="A609" s="55" t="s">
        <v>363</v>
      </c>
      <c r="B609" t="s">
        <v>471</v>
      </c>
      <c r="G609" s="1417">
        <f>C564</f>
        <v>0</v>
      </c>
      <c r="H609" s="1417"/>
      <c r="I609" s="1417"/>
      <c r="J609" s="1417"/>
      <c r="K609" s="1417"/>
      <c r="L609" s="1417"/>
      <c r="M609" s="1417"/>
      <c r="N609" s="1417"/>
      <c r="O609" s="1417"/>
      <c r="P609" s="1417"/>
      <c r="Q609" s="1417"/>
      <c r="R609" s="1417"/>
      <c r="T609" s="55" t="s">
        <v>364</v>
      </c>
      <c r="U609" t="s">
        <v>471</v>
      </c>
      <c r="Z609" s="1417">
        <f>C565</f>
        <v>0</v>
      </c>
      <c r="AA609" s="1417"/>
      <c r="AB609" s="1417"/>
      <c r="AC609" s="1417"/>
      <c r="AD609" s="1417"/>
      <c r="AE609" s="1417"/>
      <c r="AF609" s="1417"/>
      <c r="AG609" s="1417"/>
      <c r="AH609" s="1417"/>
      <c r="AI609" s="1417"/>
      <c r="AJ609" s="1417"/>
      <c r="AK609" s="1417"/>
      <c r="AZ609" s="3"/>
      <c r="BA609" s="3"/>
      <c r="BB609" s="3"/>
      <c r="BC609" s="3"/>
      <c r="BD609" s="3"/>
      <c r="BE609" s="1473">
        <f t="shared" si="1"/>
        <v>0</v>
      </c>
      <c r="BF609" s="1475"/>
      <c r="BG609" s="1671">
        <f t="shared" si="2"/>
        <v>0</v>
      </c>
      <c r="BH609" s="1673"/>
      <c r="BI609" s="1473">
        <f t="shared" si="3"/>
        <v>0</v>
      </c>
      <c r="BJ609" s="1475"/>
      <c r="BK609" s="1671">
        <f t="shared" si="4"/>
        <v>0</v>
      </c>
      <c r="BL609" s="1673"/>
      <c r="BM609" s="3"/>
      <c r="BN609" s="1479">
        <f t="shared" si="5"/>
        <v>0</v>
      </c>
      <c r="BO609" s="1480"/>
      <c r="BP609" s="1480"/>
      <c r="BQ609" s="1480"/>
      <c r="BR609" s="1481"/>
      <c r="BS609" s="1478">
        <f t="shared" si="6"/>
        <v>0</v>
      </c>
      <c r="BT609" s="1478"/>
      <c r="BU609" s="1478"/>
      <c r="BV609" s="1478"/>
      <c r="BW609" s="1478"/>
      <c r="BX609" s="1478">
        <f t="shared" si="7"/>
        <v>0</v>
      </c>
      <c r="BY609" s="1478"/>
      <c r="BZ609" s="1478"/>
      <c r="CA609" s="1478"/>
      <c r="CB609" s="1478"/>
      <c r="CC609" s="1478">
        <f t="shared" si="8"/>
        <v>0</v>
      </c>
      <c r="CD609" s="1478"/>
      <c r="CE609" s="1478"/>
      <c r="CF609" s="1478"/>
      <c r="CG609" s="1478"/>
      <c r="CH609" s="1478">
        <f t="shared" si="9"/>
        <v>0</v>
      </c>
      <c r="CI609" s="1478"/>
      <c r="CJ609" s="1478"/>
      <c r="CK609" s="1478"/>
      <c r="CL609" s="1478"/>
      <c r="CM609" s="1478">
        <f t="shared" si="10"/>
        <v>0</v>
      </c>
      <c r="CN609" s="1478"/>
      <c r="CO609" s="1478"/>
      <c r="CP609" s="1478"/>
      <c r="CQ609" s="1478"/>
      <c r="CR609" s="6"/>
      <c r="CS609" s="1496">
        <f t="shared" si="11"/>
        <v>0</v>
      </c>
      <c r="CT609" s="1496"/>
      <c r="CU609" s="1496"/>
      <c r="CV609" s="1496"/>
      <c r="CW609" s="1496"/>
      <c r="CX609" s="1496">
        <f t="shared" si="12"/>
        <v>0</v>
      </c>
      <c r="CY609" s="1496"/>
      <c r="CZ609" s="1496"/>
      <c r="DA609" s="1496"/>
      <c r="DB609" s="1496"/>
      <c r="DC609" s="1496">
        <f t="shared" si="13"/>
        <v>0</v>
      </c>
      <c r="DD609" s="1496"/>
      <c r="DE609" s="1496"/>
      <c r="DF609" s="1496"/>
      <c r="DG609" s="1496"/>
      <c r="DH609" s="1496">
        <f t="shared" si="14"/>
        <v>0</v>
      </c>
      <c r="DI609" s="1496"/>
      <c r="DJ609" s="1496"/>
      <c r="DK609" s="1496"/>
      <c r="DL609" s="1496"/>
      <c r="DM609" s="1496">
        <f t="shared" si="15"/>
        <v>0</v>
      </c>
      <c r="DN609" s="1496"/>
      <c r="DO609" s="1496"/>
      <c r="DP609" s="1496"/>
      <c r="DQ609" s="1496"/>
      <c r="DR609" s="1496">
        <f t="shared" si="16"/>
        <v>0</v>
      </c>
      <c r="DS609" s="1496"/>
      <c r="DT609" s="1496"/>
      <c r="DU609" s="1496"/>
      <c r="DV609" s="1496"/>
      <c r="DX609" s="1473" t="str">
        <f t="shared" si="17"/>
        <v/>
      </c>
      <c r="DY609" s="1474"/>
      <c r="DZ609" s="1474"/>
      <c r="EA609" s="1474"/>
      <c r="EB609" s="1475"/>
      <c r="EC609" s="1473" t="str">
        <f t="shared" si="18"/>
        <v/>
      </c>
      <c r="ED609" s="1474"/>
      <c r="EE609" s="1474"/>
      <c r="EF609" s="1474"/>
      <c r="EG609" s="1475"/>
      <c r="EH609" s="1473" t="str">
        <f t="shared" si="19"/>
        <v/>
      </c>
      <c r="EI609" s="1474"/>
      <c r="EJ609" s="1474"/>
      <c r="EK609" s="1474"/>
      <c r="EL609" s="1475"/>
      <c r="EM609" s="1473" t="str">
        <f t="shared" si="20"/>
        <v/>
      </c>
      <c r="EN609" s="1474"/>
      <c r="EO609" s="1474"/>
      <c r="EP609" s="1474"/>
      <c r="EQ609" s="1475"/>
      <c r="ER609" s="1473" t="str">
        <f t="shared" si="21"/>
        <v/>
      </c>
      <c r="ES609" s="1474"/>
      <c r="ET609" s="1474"/>
      <c r="EU609" s="1474"/>
      <c r="EV609" s="1475"/>
      <c r="EW609" s="1473" t="str">
        <f t="shared" si="22"/>
        <v/>
      </c>
      <c r="EX609" s="1474"/>
      <c r="EY609" s="1474"/>
      <c r="EZ609" s="1474"/>
      <c r="FA609" s="1475"/>
    </row>
    <row r="610" spans="1:157" ht="13.05" customHeight="1">
      <c r="B610" t="s">
        <v>85</v>
      </c>
      <c r="G610" s="1416"/>
      <c r="H610" s="1416"/>
      <c r="I610" s="1416"/>
      <c r="J610" s="1416"/>
      <c r="K610" s="1416"/>
      <c r="L610" s="1416"/>
      <c r="M610" s="1416"/>
      <c r="N610" s="1416"/>
      <c r="O610" s="1416"/>
      <c r="P610" s="1416"/>
      <c r="Q610" s="1416"/>
      <c r="R610" s="1416"/>
      <c r="U610" t="s">
        <v>85</v>
      </c>
      <c r="Z610" s="1416"/>
      <c r="AA610" s="1416"/>
      <c r="AB610" s="1416"/>
      <c r="AC610" s="1416"/>
      <c r="AD610" s="1416"/>
      <c r="AE610" s="1416"/>
      <c r="AF610" s="1416"/>
      <c r="AG610" s="1416"/>
      <c r="AH610" s="1416"/>
      <c r="AI610" s="1416"/>
      <c r="AJ610" s="1416"/>
      <c r="AK610" s="1416"/>
      <c r="AZ610" s="3"/>
      <c r="BA610" s="3"/>
      <c r="BB610" s="3"/>
      <c r="BC610" s="3"/>
      <c r="BD610" s="3"/>
      <c r="BE610" s="1473">
        <f t="shared" si="1"/>
        <v>0</v>
      </c>
      <c r="BF610" s="1475"/>
      <c r="BG610" s="1671">
        <f t="shared" si="2"/>
        <v>0</v>
      </c>
      <c r="BH610" s="1673"/>
      <c r="BI610" s="1473">
        <f t="shared" si="3"/>
        <v>0</v>
      </c>
      <c r="BJ610" s="1475"/>
      <c r="BK610" s="1671">
        <f t="shared" si="4"/>
        <v>0</v>
      </c>
      <c r="BL610" s="1673"/>
      <c r="BM610" s="3"/>
      <c r="BN610" s="1479">
        <f t="shared" si="5"/>
        <v>0</v>
      </c>
      <c r="BO610" s="1480"/>
      <c r="BP610" s="1480"/>
      <c r="BQ610" s="1480"/>
      <c r="BR610" s="1481"/>
      <c r="BS610" s="1478">
        <f t="shared" si="6"/>
        <v>0</v>
      </c>
      <c r="BT610" s="1478"/>
      <c r="BU610" s="1478"/>
      <c r="BV610" s="1478"/>
      <c r="BW610" s="1478"/>
      <c r="BX610" s="1478">
        <f t="shared" si="7"/>
        <v>0</v>
      </c>
      <c r="BY610" s="1478"/>
      <c r="BZ610" s="1478"/>
      <c r="CA610" s="1478"/>
      <c r="CB610" s="1478"/>
      <c r="CC610" s="1478">
        <f t="shared" si="8"/>
        <v>0</v>
      </c>
      <c r="CD610" s="1478"/>
      <c r="CE610" s="1478"/>
      <c r="CF610" s="1478"/>
      <c r="CG610" s="1478"/>
      <c r="CH610" s="1478">
        <f t="shared" si="9"/>
        <v>0</v>
      </c>
      <c r="CI610" s="1478"/>
      <c r="CJ610" s="1478"/>
      <c r="CK610" s="1478"/>
      <c r="CL610" s="1478"/>
      <c r="CM610" s="1478">
        <f t="shared" si="10"/>
        <v>0</v>
      </c>
      <c r="CN610" s="1478"/>
      <c r="CO610" s="1478"/>
      <c r="CP610" s="1478"/>
      <c r="CQ610" s="1478"/>
      <c r="CR610" s="6"/>
      <c r="CS610" s="1496">
        <f t="shared" si="11"/>
        <v>0</v>
      </c>
      <c r="CT610" s="1496"/>
      <c r="CU610" s="1496"/>
      <c r="CV610" s="1496"/>
      <c r="CW610" s="1496"/>
      <c r="CX610" s="1496">
        <f t="shared" si="12"/>
        <v>0</v>
      </c>
      <c r="CY610" s="1496"/>
      <c r="CZ610" s="1496"/>
      <c r="DA610" s="1496"/>
      <c r="DB610" s="1496"/>
      <c r="DC610" s="1496">
        <f t="shared" si="13"/>
        <v>0</v>
      </c>
      <c r="DD610" s="1496"/>
      <c r="DE610" s="1496"/>
      <c r="DF610" s="1496"/>
      <c r="DG610" s="1496"/>
      <c r="DH610" s="1496">
        <f t="shared" si="14"/>
        <v>0</v>
      </c>
      <c r="DI610" s="1496"/>
      <c r="DJ610" s="1496"/>
      <c r="DK610" s="1496"/>
      <c r="DL610" s="1496"/>
      <c r="DM610" s="1496">
        <f t="shared" si="15"/>
        <v>0</v>
      </c>
      <c r="DN610" s="1496"/>
      <c r="DO610" s="1496"/>
      <c r="DP610" s="1496"/>
      <c r="DQ610" s="1496"/>
      <c r="DR610" s="1496">
        <f t="shared" si="16"/>
        <v>0</v>
      </c>
      <c r="DS610" s="1496"/>
      <c r="DT610" s="1496"/>
      <c r="DU610" s="1496"/>
      <c r="DV610" s="1496"/>
      <c r="DX610" s="1473" t="str">
        <f t="shared" si="17"/>
        <v/>
      </c>
      <c r="DY610" s="1474"/>
      <c r="DZ610" s="1474"/>
      <c r="EA610" s="1474"/>
      <c r="EB610" s="1475"/>
      <c r="EC610" s="1473" t="str">
        <f t="shared" si="18"/>
        <v/>
      </c>
      <c r="ED610" s="1474"/>
      <c r="EE610" s="1474"/>
      <c r="EF610" s="1474"/>
      <c r="EG610" s="1475"/>
      <c r="EH610" s="1473" t="str">
        <f t="shared" si="19"/>
        <v/>
      </c>
      <c r="EI610" s="1474"/>
      <c r="EJ610" s="1474"/>
      <c r="EK610" s="1474"/>
      <c r="EL610" s="1475"/>
      <c r="EM610" s="1473" t="str">
        <f t="shared" si="20"/>
        <v/>
      </c>
      <c r="EN610" s="1474"/>
      <c r="EO610" s="1474"/>
      <c r="EP610" s="1474"/>
      <c r="EQ610" s="1475"/>
      <c r="ER610" s="1473" t="str">
        <f t="shared" si="21"/>
        <v/>
      </c>
      <c r="ES610" s="1474"/>
      <c r="ET610" s="1474"/>
      <c r="EU610" s="1474"/>
      <c r="EV610" s="1475"/>
      <c r="EW610" s="1473" t="str">
        <f t="shared" si="22"/>
        <v/>
      </c>
      <c r="EX610" s="1474"/>
      <c r="EY610" s="1474"/>
      <c r="EZ610" s="1474"/>
      <c r="FA610" s="1475"/>
    </row>
    <row r="611" spans="1:157" ht="13.05" customHeight="1">
      <c r="B611" t="s">
        <v>588</v>
      </c>
      <c r="G611" s="1416"/>
      <c r="H611" s="1416"/>
      <c r="I611" s="1416"/>
      <c r="J611" s="1416"/>
      <c r="K611" s="1416"/>
      <c r="L611" s="1416"/>
      <c r="M611" s="1416"/>
      <c r="N611" s="1416"/>
      <c r="O611" s="1416"/>
      <c r="P611" s="1416"/>
      <c r="Q611" s="1416"/>
      <c r="R611" s="1416"/>
      <c r="U611" t="s">
        <v>588</v>
      </c>
      <c r="Z611" s="1411"/>
      <c r="AA611" s="1411"/>
      <c r="AB611" s="1411"/>
      <c r="AC611" s="1411"/>
      <c r="AD611" s="1411"/>
      <c r="AE611" s="1411"/>
      <c r="AF611" s="1411"/>
      <c r="AG611" s="1411"/>
      <c r="AH611" s="1411"/>
      <c r="AI611" s="1411"/>
      <c r="AJ611" s="1411"/>
      <c r="AK611" s="1411"/>
      <c r="AZ611" s="3"/>
      <c r="BA611" s="3"/>
      <c r="BB611" s="3"/>
      <c r="BC611" s="3"/>
      <c r="BD611" s="3"/>
      <c r="BE611" s="1473">
        <f t="shared" si="1"/>
        <v>0</v>
      </c>
      <c r="BF611" s="1475"/>
      <c r="BG611" s="1671">
        <f t="shared" si="2"/>
        <v>0</v>
      </c>
      <c r="BH611" s="1673"/>
      <c r="BI611" s="1473">
        <f t="shared" si="3"/>
        <v>0</v>
      </c>
      <c r="BJ611" s="1475"/>
      <c r="BK611" s="1671">
        <f t="shared" si="4"/>
        <v>0</v>
      </c>
      <c r="BL611" s="1673"/>
      <c r="BM611" s="3"/>
      <c r="BN611" s="1479">
        <f t="shared" si="5"/>
        <v>0</v>
      </c>
      <c r="BO611" s="1480"/>
      <c r="BP611" s="1480"/>
      <c r="BQ611" s="1480"/>
      <c r="BR611" s="1481"/>
      <c r="BS611" s="1478">
        <f t="shared" si="6"/>
        <v>0</v>
      </c>
      <c r="BT611" s="1478"/>
      <c r="BU611" s="1478"/>
      <c r="BV611" s="1478"/>
      <c r="BW611" s="1478"/>
      <c r="BX611" s="1478">
        <f t="shared" si="7"/>
        <v>0</v>
      </c>
      <c r="BY611" s="1478"/>
      <c r="BZ611" s="1478"/>
      <c r="CA611" s="1478"/>
      <c r="CB611" s="1478"/>
      <c r="CC611" s="1478">
        <f t="shared" si="8"/>
        <v>0</v>
      </c>
      <c r="CD611" s="1478"/>
      <c r="CE611" s="1478"/>
      <c r="CF611" s="1478"/>
      <c r="CG611" s="1478"/>
      <c r="CH611" s="1478">
        <f t="shared" si="9"/>
        <v>0</v>
      </c>
      <c r="CI611" s="1478"/>
      <c r="CJ611" s="1478"/>
      <c r="CK611" s="1478"/>
      <c r="CL611" s="1478"/>
      <c r="CM611" s="1478">
        <f t="shared" si="10"/>
        <v>0</v>
      </c>
      <c r="CN611" s="1478"/>
      <c r="CO611" s="1478"/>
      <c r="CP611" s="1478"/>
      <c r="CQ611" s="1478"/>
      <c r="CR611" s="6"/>
      <c r="CS611" s="1496">
        <f t="shared" si="11"/>
        <v>0</v>
      </c>
      <c r="CT611" s="1496"/>
      <c r="CU611" s="1496"/>
      <c r="CV611" s="1496"/>
      <c r="CW611" s="1496"/>
      <c r="CX611" s="1496">
        <f t="shared" si="12"/>
        <v>0</v>
      </c>
      <c r="CY611" s="1496"/>
      <c r="CZ611" s="1496"/>
      <c r="DA611" s="1496"/>
      <c r="DB611" s="1496"/>
      <c r="DC611" s="1496">
        <f t="shared" si="13"/>
        <v>0</v>
      </c>
      <c r="DD611" s="1496"/>
      <c r="DE611" s="1496"/>
      <c r="DF611" s="1496"/>
      <c r="DG611" s="1496"/>
      <c r="DH611" s="1496">
        <f t="shared" si="14"/>
        <v>0</v>
      </c>
      <c r="DI611" s="1496"/>
      <c r="DJ611" s="1496"/>
      <c r="DK611" s="1496"/>
      <c r="DL611" s="1496"/>
      <c r="DM611" s="1496">
        <f t="shared" si="15"/>
        <v>0</v>
      </c>
      <c r="DN611" s="1496"/>
      <c r="DO611" s="1496"/>
      <c r="DP611" s="1496"/>
      <c r="DQ611" s="1496"/>
      <c r="DR611" s="1496">
        <f t="shared" si="16"/>
        <v>0</v>
      </c>
      <c r="DS611" s="1496"/>
      <c r="DT611" s="1496"/>
      <c r="DU611" s="1496"/>
      <c r="DV611" s="1496"/>
      <c r="DX611" s="1473" t="str">
        <f t="shared" si="17"/>
        <v/>
      </c>
      <c r="DY611" s="1474"/>
      <c r="DZ611" s="1474"/>
      <c r="EA611" s="1474"/>
      <c r="EB611" s="1475"/>
      <c r="EC611" s="1473" t="str">
        <f t="shared" si="18"/>
        <v/>
      </c>
      <c r="ED611" s="1474"/>
      <c r="EE611" s="1474"/>
      <c r="EF611" s="1474"/>
      <c r="EG611" s="1475"/>
      <c r="EH611" s="1473" t="str">
        <f t="shared" si="19"/>
        <v/>
      </c>
      <c r="EI611" s="1474"/>
      <c r="EJ611" s="1474"/>
      <c r="EK611" s="1474"/>
      <c r="EL611" s="1475"/>
      <c r="EM611" s="1473" t="str">
        <f t="shared" si="20"/>
        <v/>
      </c>
      <c r="EN611" s="1474"/>
      <c r="EO611" s="1474"/>
      <c r="EP611" s="1474"/>
      <c r="EQ611" s="1475"/>
      <c r="ER611" s="1473" t="str">
        <f t="shared" si="21"/>
        <v/>
      </c>
      <c r="ES611" s="1474"/>
      <c r="ET611" s="1474"/>
      <c r="EU611" s="1474"/>
      <c r="EV611" s="1475"/>
      <c r="EW611" s="1473" t="str">
        <f t="shared" si="22"/>
        <v/>
      </c>
      <c r="EX611" s="1474"/>
      <c r="EY611" s="1474"/>
      <c r="EZ611" s="1474"/>
      <c r="FA611" s="1475"/>
    </row>
    <row r="612" spans="1:157" ht="13.05" customHeight="1">
      <c r="B612" t="s">
        <v>17</v>
      </c>
      <c r="G612" s="1416"/>
      <c r="H612" s="1416"/>
      <c r="I612" s="1416"/>
      <c r="J612" s="1416"/>
      <c r="K612" s="1416"/>
      <c r="L612" s="1416"/>
      <c r="M612" s="1416"/>
      <c r="N612" s="1416"/>
      <c r="O612" s="1416"/>
      <c r="P612" s="1416"/>
      <c r="Q612" s="1416"/>
      <c r="R612" s="1416"/>
      <c r="U612" t="s">
        <v>17</v>
      </c>
      <c r="Z612" s="1411"/>
      <c r="AA612" s="1411"/>
      <c r="AB612" s="1411"/>
      <c r="AC612" s="1411"/>
      <c r="AD612" s="1411"/>
      <c r="AE612" s="1411"/>
      <c r="AF612" s="1411"/>
      <c r="AG612" s="1411"/>
      <c r="AH612" s="1411"/>
      <c r="AI612" s="1411"/>
      <c r="AJ612" s="1411"/>
      <c r="AK612" s="1411"/>
      <c r="AZ612" s="3"/>
      <c r="BA612" s="3"/>
      <c r="BB612" s="3"/>
      <c r="BC612" s="3"/>
      <c r="BD612" s="3"/>
      <c r="BE612" s="1473">
        <f t="shared" si="1"/>
        <v>0</v>
      </c>
      <c r="BF612" s="1475"/>
      <c r="BG612" s="1671">
        <f t="shared" si="2"/>
        <v>0</v>
      </c>
      <c r="BH612" s="1673"/>
      <c r="BI612" s="1473">
        <f t="shared" si="3"/>
        <v>0</v>
      </c>
      <c r="BJ612" s="1475"/>
      <c r="BK612" s="1671">
        <f t="shared" si="4"/>
        <v>0</v>
      </c>
      <c r="BL612" s="1673"/>
      <c r="BM612" s="3"/>
      <c r="BN612" s="1479">
        <f t="shared" si="5"/>
        <v>0</v>
      </c>
      <c r="BO612" s="1480"/>
      <c r="BP612" s="1480"/>
      <c r="BQ612" s="1480"/>
      <c r="BR612" s="1481"/>
      <c r="BS612" s="1478">
        <f t="shared" si="6"/>
        <v>0</v>
      </c>
      <c r="BT612" s="1478"/>
      <c r="BU612" s="1478"/>
      <c r="BV612" s="1478"/>
      <c r="BW612" s="1478"/>
      <c r="BX612" s="1478">
        <f t="shared" si="7"/>
        <v>0</v>
      </c>
      <c r="BY612" s="1478"/>
      <c r="BZ612" s="1478"/>
      <c r="CA612" s="1478"/>
      <c r="CB612" s="1478"/>
      <c r="CC612" s="1478">
        <f t="shared" si="8"/>
        <v>0</v>
      </c>
      <c r="CD612" s="1478"/>
      <c r="CE612" s="1478"/>
      <c r="CF612" s="1478"/>
      <c r="CG612" s="1478"/>
      <c r="CH612" s="1478">
        <f t="shared" si="9"/>
        <v>0</v>
      </c>
      <c r="CI612" s="1478"/>
      <c r="CJ612" s="1478"/>
      <c r="CK612" s="1478"/>
      <c r="CL612" s="1478"/>
      <c r="CM612" s="1478">
        <f t="shared" si="10"/>
        <v>0</v>
      </c>
      <c r="CN612" s="1478"/>
      <c r="CO612" s="1478"/>
      <c r="CP612" s="1478"/>
      <c r="CQ612" s="1478"/>
      <c r="CR612" s="6"/>
      <c r="CS612" s="1496">
        <f t="shared" si="11"/>
        <v>0</v>
      </c>
      <c r="CT612" s="1496"/>
      <c r="CU612" s="1496"/>
      <c r="CV612" s="1496"/>
      <c r="CW612" s="1496"/>
      <c r="CX612" s="1496">
        <f t="shared" si="12"/>
        <v>0</v>
      </c>
      <c r="CY612" s="1496"/>
      <c r="CZ612" s="1496"/>
      <c r="DA612" s="1496"/>
      <c r="DB612" s="1496"/>
      <c r="DC612" s="1496">
        <f t="shared" si="13"/>
        <v>0</v>
      </c>
      <c r="DD612" s="1496"/>
      <c r="DE612" s="1496"/>
      <c r="DF612" s="1496"/>
      <c r="DG612" s="1496"/>
      <c r="DH612" s="1496">
        <f t="shared" si="14"/>
        <v>0</v>
      </c>
      <c r="DI612" s="1496"/>
      <c r="DJ612" s="1496"/>
      <c r="DK612" s="1496"/>
      <c r="DL612" s="1496"/>
      <c r="DM612" s="1496">
        <f t="shared" si="15"/>
        <v>0</v>
      </c>
      <c r="DN612" s="1496"/>
      <c r="DO612" s="1496"/>
      <c r="DP612" s="1496"/>
      <c r="DQ612" s="1496"/>
      <c r="DR612" s="1496">
        <f t="shared" si="16"/>
        <v>0</v>
      </c>
      <c r="DS612" s="1496"/>
      <c r="DT612" s="1496"/>
      <c r="DU612" s="1496"/>
      <c r="DV612" s="1496"/>
      <c r="DX612" s="1473" t="str">
        <f t="shared" si="17"/>
        <v/>
      </c>
      <c r="DY612" s="1474"/>
      <c r="DZ612" s="1474"/>
      <c r="EA612" s="1474"/>
      <c r="EB612" s="1475"/>
      <c r="EC612" s="1473" t="str">
        <f t="shared" si="18"/>
        <v/>
      </c>
      <c r="ED612" s="1474"/>
      <c r="EE612" s="1474"/>
      <c r="EF612" s="1474"/>
      <c r="EG612" s="1475"/>
      <c r="EH612" s="1473" t="str">
        <f t="shared" si="19"/>
        <v/>
      </c>
      <c r="EI612" s="1474"/>
      <c r="EJ612" s="1474"/>
      <c r="EK612" s="1474"/>
      <c r="EL612" s="1475"/>
      <c r="EM612" s="1473" t="str">
        <f t="shared" si="20"/>
        <v/>
      </c>
      <c r="EN612" s="1474"/>
      <c r="EO612" s="1474"/>
      <c r="EP612" s="1474"/>
      <c r="EQ612" s="1475"/>
      <c r="ER612" s="1473" t="str">
        <f t="shared" si="21"/>
        <v/>
      </c>
      <c r="ES612" s="1474"/>
      <c r="ET612" s="1474"/>
      <c r="EU612" s="1474"/>
      <c r="EV612" s="1475"/>
      <c r="EW612" s="1473" t="str">
        <f t="shared" si="22"/>
        <v/>
      </c>
      <c r="EX612" s="1474"/>
      <c r="EY612" s="1474"/>
      <c r="EZ612" s="1474"/>
      <c r="FA612" s="1475"/>
    </row>
    <row r="613" spans="1:157" ht="13.05" customHeight="1">
      <c r="B613" t="s">
        <v>317</v>
      </c>
      <c r="G613" s="1477"/>
      <c r="H613" s="1477"/>
      <c r="I613" s="1477"/>
      <c r="J613" s="1477"/>
      <c r="K613" s="1477"/>
      <c r="L613" s="1477"/>
      <c r="O613" s="33" t="s">
        <v>207</v>
      </c>
      <c r="P613" s="1441"/>
      <c r="Q613" s="1441"/>
      <c r="R613" s="1441"/>
      <c r="U613" t="s">
        <v>317</v>
      </c>
      <c r="Z613" s="1477"/>
      <c r="AA613" s="1477"/>
      <c r="AB613" s="1477"/>
      <c r="AC613" s="1477"/>
      <c r="AD613" s="1477"/>
      <c r="AE613" s="1477"/>
      <c r="AH613" s="33" t="s">
        <v>207</v>
      </c>
      <c r="AI613" s="1441"/>
      <c r="AJ613" s="1441"/>
      <c r="AK613" s="1441"/>
      <c r="AZ613" s="3"/>
      <c r="BA613" s="3"/>
      <c r="BB613" s="3"/>
      <c r="BC613" s="3"/>
      <c r="BD613" s="3"/>
      <c r="BE613" s="1473">
        <f t="shared" si="1"/>
        <v>0</v>
      </c>
      <c r="BF613" s="1475"/>
      <c r="BG613" s="1671">
        <f t="shared" si="2"/>
        <v>0</v>
      </c>
      <c r="BH613" s="1673"/>
      <c r="BI613" s="1473">
        <f t="shared" si="3"/>
        <v>0</v>
      </c>
      <c r="BJ613" s="1475"/>
      <c r="BK613" s="1671">
        <f t="shared" si="4"/>
        <v>0</v>
      </c>
      <c r="BL613" s="1673"/>
      <c r="BM613" s="3"/>
      <c r="BN613" s="1479">
        <f t="shared" si="5"/>
        <v>0</v>
      </c>
      <c r="BO613" s="1480"/>
      <c r="BP613" s="1480"/>
      <c r="BQ613" s="1480"/>
      <c r="BR613" s="1481"/>
      <c r="BS613" s="1478">
        <f t="shared" si="6"/>
        <v>0</v>
      </c>
      <c r="BT613" s="1478"/>
      <c r="BU613" s="1478"/>
      <c r="BV613" s="1478"/>
      <c r="BW613" s="1478"/>
      <c r="BX613" s="1478">
        <f t="shared" si="7"/>
        <v>0</v>
      </c>
      <c r="BY613" s="1478"/>
      <c r="BZ613" s="1478"/>
      <c r="CA613" s="1478"/>
      <c r="CB613" s="1478"/>
      <c r="CC613" s="1478">
        <f t="shared" si="8"/>
        <v>0</v>
      </c>
      <c r="CD613" s="1478"/>
      <c r="CE613" s="1478"/>
      <c r="CF613" s="1478"/>
      <c r="CG613" s="1478"/>
      <c r="CH613" s="1478">
        <f t="shared" si="9"/>
        <v>0</v>
      </c>
      <c r="CI613" s="1478"/>
      <c r="CJ613" s="1478"/>
      <c r="CK613" s="1478"/>
      <c r="CL613" s="1478"/>
      <c r="CM613" s="1478">
        <f t="shared" si="10"/>
        <v>0</v>
      </c>
      <c r="CN613" s="1478"/>
      <c r="CO613" s="1478"/>
      <c r="CP613" s="1478"/>
      <c r="CQ613" s="1478"/>
      <c r="CR613" s="6"/>
      <c r="CS613" s="1496">
        <f t="shared" si="11"/>
        <v>0</v>
      </c>
      <c r="CT613" s="1496"/>
      <c r="CU613" s="1496"/>
      <c r="CV613" s="1496"/>
      <c r="CW613" s="1496"/>
      <c r="CX613" s="1496">
        <f t="shared" si="12"/>
        <v>0</v>
      </c>
      <c r="CY613" s="1496"/>
      <c r="CZ613" s="1496"/>
      <c r="DA613" s="1496"/>
      <c r="DB613" s="1496"/>
      <c r="DC613" s="1496">
        <f t="shared" si="13"/>
        <v>0</v>
      </c>
      <c r="DD613" s="1496"/>
      <c r="DE613" s="1496"/>
      <c r="DF613" s="1496"/>
      <c r="DG613" s="1496"/>
      <c r="DH613" s="1496">
        <f t="shared" si="14"/>
        <v>0</v>
      </c>
      <c r="DI613" s="1496"/>
      <c r="DJ613" s="1496"/>
      <c r="DK613" s="1496"/>
      <c r="DL613" s="1496"/>
      <c r="DM613" s="1496">
        <f t="shared" si="15"/>
        <v>0</v>
      </c>
      <c r="DN613" s="1496"/>
      <c r="DO613" s="1496"/>
      <c r="DP613" s="1496"/>
      <c r="DQ613" s="1496"/>
      <c r="DR613" s="1496">
        <f t="shared" si="16"/>
        <v>0</v>
      </c>
      <c r="DS613" s="1496"/>
      <c r="DT613" s="1496"/>
      <c r="DU613" s="1496"/>
      <c r="DV613" s="1496"/>
      <c r="DX613" s="1473" t="str">
        <f t="shared" si="17"/>
        <v/>
      </c>
      <c r="DY613" s="1474"/>
      <c r="DZ613" s="1474"/>
      <c r="EA613" s="1474"/>
      <c r="EB613" s="1475"/>
      <c r="EC613" s="1473" t="str">
        <f t="shared" si="18"/>
        <v/>
      </c>
      <c r="ED613" s="1474"/>
      <c r="EE613" s="1474"/>
      <c r="EF613" s="1474"/>
      <c r="EG613" s="1475"/>
      <c r="EH613" s="1473" t="str">
        <f t="shared" si="19"/>
        <v/>
      </c>
      <c r="EI613" s="1474"/>
      <c r="EJ613" s="1474"/>
      <c r="EK613" s="1474"/>
      <c r="EL613" s="1475"/>
      <c r="EM613" s="1473" t="str">
        <f t="shared" si="20"/>
        <v/>
      </c>
      <c r="EN613" s="1474"/>
      <c r="EO613" s="1474"/>
      <c r="EP613" s="1474"/>
      <c r="EQ613" s="1475"/>
      <c r="ER613" s="1473" t="str">
        <f t="shared" si="21"/>
        <v/>
      </c>
      <c r="ES613" s="1474"/>
      <c r="ET613" s="1474"/>
      <c r="EU613" s="1474"/>
      <c r="EV613" s="1475"/>
      <c r="EW613" s="1473" t="str">
        <f t="shared" si="22"/>
        <v/>
      </c>
      <c r="EX613" s="1474"/>
      <c r="EY613" s="1474"/>
      <c r="EZ613" s="1474"/>
      <c r="FA613" s="1475"/>
    </row>
    <row r="614" spans="1:157" ht="13.05" customHeight="1">
      <c r="B614" t="s">
        <v>18</v>
      </c>
      <c r="H614" s="1416"/>
      <c r="I614" s="1416"/>
      <c r="J614" s="1416"/>
      <c r="K614" s="1416"/>
      <c r="L614" s="1416"/>
      <c r="M614" s="1416"/>
      <c r="N614" s="1416"/>
      <c r="O614" s="1416"/>
      <c r="P614" s="1416"/>
      <c r="Q614" s="1416"/>
      <c r="R614" s="1416"/>
      <c r="U614" t="s">
        <v>18</v>
      </c>
      <c r="AA614" s="1416"/>
      <c r="AB614" s="1416"/>
      <c r="AC614" s="1416"/>
      <c r="AD614" s="1416"/>
      <c r="AE614" s="1416"/>
      <c r="AF614" s="1416"/>
      <c r="AG614" s="1416"/>
      <c r="AH614" s="1416"/>
      <c r="AI614" s="1416"/>
      <c r="AJ614" s="1416"/>
      <c r="AK614" s="1416"/>
      <c r="AU614" s="934"/>
      <c r="AV614" s="934"/>
      <c r="AW614" s="934"/>
      <c r="AX614" s="934"/>
      <c r="AY614" s="934"/>
      <c r="AZ614" s="3"/>
      <c r="BA614" s="3"/>
      <c r="BB614" s="3"/>
      <c r="BC614" s="3"/>
      <c r="BD614" s="3"/>
      <c r="BE614" s="1473">
        <f t="shared" si="1"/>
        <v>0</v>
      </c>
      <c r="BF614" s="1475"/>
      <c r="BG614" s="1671">
        <f t="shared" si="2"/>
        <v>0</v>
      </c>
      <c r="BH614" s="1673"/>
      <c r="BI614" s="1473">
        <f t="shared" si="3"/>
        <v>0</v>
      </c>
      <c r="BJ614" s="1475"/>
      <c r="BK614" s="1671">
        <f t="shared" si="4"/>
        <v>0</v>
      </c>
      <c r="BL614" s="1673"/>
      <c r="BM614" s="3"/>
      <c r="BN614" s="1479">
        <f t="shared" si="5"/>
        <v>0</v>
      </c>
      <c r="BO614" s="1480"/>
      <c r="BP614" s="1480"/>
      <c r="BQ614" s="1480"/>
      <c r="BR614" s="1481"/>
      <c r="BS614" s="1478">
        <f t="shared" si="6"/>
        <v>0</v>
      </c>
      <c r="BT614" s="1478"/>
      <c r="BU614" s="1478"/>
      <c r="BV614" s="1478"/>
      <c r="BW614" s="1478"/>
      <c r="BX614" s="1478">
        <f t="shared" si="7"/>
        <v>0</v>
      </c>
      <c r="BY614" s="1478"/>
      <c r="BZ614" s="1478"/>
      <c r="CA614" s="1478"/>
      <c r="CB614" s="1478"/>
      <c r="CC614" s="1478">
        <f t="shared" si="8"/>
        <v>0</v>
      </c>
      <c r="CD614" s="1478"/>
      <c r="CE614" s="1478"/>
      <c r="CF614" s="1478"/>
      <c r="CG614" s="1478"/>
      <c r="CH614" s="1478">
        <f t="shared" si="9"/>
        <v>0</v>
      </c>
      <c r="CI614" s="1478"/>
      <c r="CJ614" s="1478"/>
      <c r="CK614" s="1478"/>
      <c r="CL614" s="1478"/>
      <c r="CM614" s="1478">
        <f t="shared" si="10"/>
        <v>0</v>
      </c>
      <c r="CN614" s="1478"/>
      <c r="CO614" s="1478"/>
      <c r="CP614" s="1478"/>
      <c r="CQ614" s="1478"/>
      <c r="CR614" s="6"/>
      <c r="CS614" s="1496">
        <f t="shared" si="11"/>
        <v>0</v>
      </c>
      <c r="CT614" s="1496"/>
      <c r="CU614" s="1496"/>
      <c r="CV614" s="1496"/>
      <c r="CW614" s="1496"/>
      <c r="CX614" s="1496">
        <f t="shared" si="12"/>
        <v>0</v>
      </c>
      <c r="CY614" s="1496"/>
      <c r="CZ614" s="1496"/>
      <c r="DA614" s="1496"/>
      <c r="DB614" s="1496"/>
      <c r="DC614" s="1496">
        <f t="shared" si="13"/>
        <v>0</v>
      </c>
      <c r="DD614" s="1496"/>
      <c r="DE614" s="1496"/>
      <c r="DF614" s="1496"/>
      <c r="DG614" s="1496"/>
      <c r="DH614" s="1496">
        <f t="shared" si="14"/>
        <v>0</v>
      </c>
      <c r="DI614" s="1496"/>
      <c r="DJ614" s="1496"/>
      <c r="DK614" s="1496"/>
      <c r="DL614" s="1496"/>
      <c r="DM614" s="1496">
        <f t="shared" si="15"/>
        <v>0</v>
      </c>
      <c r="DN614" s="1496"/>
      <c r="DO614" s="1496"/>
      <c r="DP614" s="1496"/>
      <c r="DQ614" s="1496"/>
      <c r="DR614" s="1496">
        <f t="shared" si="16"/>
        <v>0</v>
      </c>
      <c r="DS614" s="1496"/>
      <c r="DT614" s="1496"/>
      <c r="DU614" s="1496"/>
      <c r="DV614" s="1496"/>
      <c r="DX614" s="1473" t="str">
        <f t="shared" si="17"/>
        <v/>
      </c>
      <c r="DY614" s="1474"/>
      <c r="DZ614" s="1474"/>
      <c r="EA614" s="1474"/>
      <c r="EB614" s="1475"/>
      <c r="EC614" s="1473" t="str">
        <f t="shared" si="18"/>
        <v/>
      </c>
      <c r="ED614" s="1474"/>
      <c r="EE614" s="1474"/>
      <c r="EF614" s="1474"/>
      <c r="EG614" s="1475"/>
      <c r="EH614" s="1473" t="str">
        <f t="shared" si="19"/>
        <v/>
      </c>
      <c r="EI614" s="1474"/>
      <c r="EJ614" s="1474"/>
      <c r="EK614" s="1474"/>
      <c r="EL614" s="1475"/>
      <c r="EM614" s="1473" t="str">
        <f t="shared" si="20"/>
        <v/>
      </c>
      <c r="EN614" s="1474"/>
      <c r="EO614" s="1474"/>
      <c r="EP614" s="1474"/>
      <c r="EQ614" s="1475"/>
      <c r="ER614" s="1473" t="str">
        <f t="shared" si="21"/>
        <v/>
      </c>
      <c r="ES614" s="1474"/>
      <c r="ET614" s="1474"/>
      <c r="EU614" s="1474"/>
      <c r="EV614" s="1475"/>
      <c r="EW614" s="1473" t="str">
        <f t="shared" si="22"/>
        <v/>
      </c>
      <c r="EX614" s="1474"/>
      <c r="EY614" s="1474"/>
      <c r="EZ614" s="1474"/>
      <c r="FA614" s="1475"/>
    </row>
    <row r="615" spans="1:157" ht="13.05" customHeight="1">
      <c r="B615" t="s">
        <v>20</v>
      </c>
      <c r="N615" s="1415" t="s">
        <v>676</v>
      </c>
      <c r="O615" s="1415"/>
      <c r="U615" t="s">
        <v>20</v>
      </c>
      <c r="AG615" s="1415" t="s">
        <v>676</v>
      </c>
      <c r="AH615" s="1415"/>
      <c r="AU615" s="934"/>
      <c r="AV615" s="934"/>
      <c r="AW615" s="934"/>
      <c r="AX615" s="934"/>
      <c r="AY615" s="934"/>
      <c r="AZ615" s="3"/>
      <c r="BA615" s="3"/>
      <c r="BB615" s="3"/>
      <c r="BC615" s="3"/>
      <c r="BD615" s="3"/>
      <c r="BE615" s="1473">
        <f t="shared" si="1"/>
        <v>0</v>
      </c>
      <c r="BF615" s="1475"/>
      <c r="BG615" s="1671">
        <f t="shared" si="2"/>
        <v>0</v>
      </c>
      <c r="BH615" s="1673"/>
      <c r="BI615" s="1473">
        <f t="shared" si="3"/>
        <v>0</v>
      </c>
      <c r="BJ615" s="1475"/>
      <c r="BK615" s="1671">
        <f t="shared" si="4"/>
        <v>0</v>
      </c>
      <c r="BL615" s="1673"/>
      <c r="BM615" s="3"/>
      <c r="BN615" s="1479">
        <f t="shared" si="5"/>
        <v>0</v>
      </c>
      <c r="BO615" s="1480"/>
      <c r="BP615" s="1480"/>
      <c r="BQ615" s="1480"/>
      <c r="BR615" s="1481"/>
      <c r="BS615" s="1478">
        <f t="shared" si="6"/>
        <v>0</v>
      </c>
      <c r="BT615" s="1478"/>
      <c r="BU615" s="1478"/>
      <c r="BV615" s="1478"/>
      <c r="BW615" s="1478"/>
      <c r="BX615" s="1478">
        <f t="shared" si="7"/>
        <v>0</v>
      </c>
      <c r="BY615" s="1478"/>
      <c r="BZ615" s="1478"/>
      <c r="CA615" s="1478"/>
      <c r="CB615" s="1478"/>
      <c r="CC615" s="1478">
        <f t="shared" si="8"/>
        <v>0</v>
      </c>
      <c r="CD615" s="1478"/>
      <c r="CE615" s="1478"/>
      <c r="CF615" s="1478"/>
      <c r="CG615" s="1478"/>
      <c r="CH615" s="1478">
        <f t="shared" si="9"/>
        <v>0</v>
      </c>
      <c r="CI615" s="1478"/>
      <c r="CJ615" s="1478"/>
      <c r="CK615" s="1478"/>
      <c r="CL615" s="1478"/>
      <c r="CM615" s="1478">
        <f t="shared" si="10"/>
        <v>0</v>
      </c>
      <c r="CN615" s="1478"/>
      <c r="CO615" s="1478"/>
      <c r="CP615" s="1478"/>
      <c r="CQ615" s="1478"/>
      <c r="CR615" s="6"/>
      <c r="CS615" s="1496">
        <f t="shared" si="11"/>
        <v>0</v>
      </c>
      <c r="CT615" s="1496"/>
      <c r="CU615" s="1496"/>
      <c r="CV615" s="1496"/>
      <c r="CW615" s="1496"/>
      <c r="CX615" s="1496">
        <f t="shared" si="12"/>
        <v>0</v>
      </c>
      <c r="CY615" s="1496"/>
      <c r="CZ615" s="1496"/>
      <c r="DA615" s="1496"/>
      <c r="DB615" s="1496"/>
      <c r="DC615" s="1496">
        <f t="shared" si="13"/>
        <v>0</v>
      </c>
      <c r="DD615" s="1496"/>
      <c r="DE615" s="1496"/>
      <c r="DF615" s="1496"/>
      <c r="DG615" s="1496"/>
      <c r="DH615" s="1496">
        <f t="shared" si="14"/>
        <v>0</v>
      </c>
      <c r="DI615" s="1496"/>
      <c r="DJ615" s="1496"/>
      <c r="DK615" s="1496"/>
      <c r="DL615" s="1496"/>
      <c r="DM615" s="1496">
        <f t="shared" si="15"/>
        <v>0</v>
      </c>
      <c r="DN615" s="1496"/>
      <c r="DO615" s="1496"/>
      <c r="DP615" s="1496"/>
      <c r="DQ615" s="1496"/>
      <c r="DR615" s="1496">
        <f t="shared" si="16"/>
        <v>0</v>
      </c>
      <c r="DS615" s="1496"/>
      <c r="DT615" s="1496"/>
      <c r="DU615" s="1496"/>
      <c r="DV615" s="1496"/>
      <c r="DX615" s="1473" t="str">
        <f t="shared" si="17"/>
        <v/>
      </c>
      <c r="DY615" s="1474"/>
      <c r="DZ615" s="1474"/>
      <c r="EA615" s="1474"/>
      <c r="EB615" s="1475"/>
      <c r="EC615" s="1473" t="str">
        <f t="shared" si="18"/>
        <v/>
      </c>
      <c r="ED615" s="1474"/>
      <c r="EE615" s="1474"/>
      <c r="EF615" s="1474"/>
      <c r="EG615" s="1475"/>
      <c r="EH615" s="1473" t="str">
        <f t="shared" si="19"/>
        <v/>
      </c>
      <c r="EI615" s="1474"/>
      <c r="EJ615" s="1474"/>
      <c r="EK615" s="1474"/>
      <c r="EL615" s="1475"/>
      <c r="EM615" s="1473" t="str">
        <f t="shared" si="20"/>
        <v/>
      </c>
      <c r="EN615" s="1474"/>
      <c r="EO615" s="1474"/>
      <c r="EP615" s="1474"/>
      <c r="EQ615" s="1475"/>
      <c r="ER615" s="1473" t="str">
        <f t="shared" si="21"/>
        <v/>
      </c>
      <c r="ES615" s="1474"/>
      <c r="ET615" s="1474"/>
      <c r="EU615" s="1474"/>
      <c r="EV615" s="1475"/>
      <c r="EW615" s="1473" t="str">
        <f t="shared" si="22"/>
        <v/>
      </c>
      <c r="EX615" s="1474"/>
      <c r="EY615" s="1474"/>
      <c r="EZ615" s="1474"/>
      <c r="FA615" s="1475"/>
    </row>
    <row r="616" spans="1:157" ht="13.05" customHeight="1">
      <c r="AZ616" s="3"/>
      <c r="BA616" s="3"/>
      <c r="BB616" s="3"/>
      <c r="BC616" s="3"/>
      <c r="BD616" s="3"/>
      <c r="BE616" s="1473">
        <f t="shared" si="1"/>
        <v>0</v>
      </c>
      <c r="BF616" s="1475"/>
      <c r="BG616" s="1671">
        <f t="shared" si="2"/>
        <v>0</v>
      </c>
      <c r="BH616" s="1673"/>
      <c r="BI616" s="1473">
        <f t="shared" si="3"/>
        <v>0</v>
      </c>
      <c r="BJ616" s="1475"/>
      <c r="BK616" s="1671">
        <f t="shared" si="4"/>
        <v>0</v>
      </c>
      <c r="BL616" s="1673"/>
      <c r="BM616" s="3"/>
      <c r="BN616" s="1479">
        <f t="shared" si="5"/>
        <v>0</v>
      </c>
      <c r="BO616" s="1480"/>
      <c r="BP616" s="1480"/>
      <c r="BQ616" s="1480"/>
      <c r="BR616" s="1481"/>
      <c r="BS616" s="1478">
        <f t="shared" si="6"/>
        <v>0</v>
      </c>
      <c r="BT616" s="1478"/>
      <c r="BU616" s="1478"/>
      <c r="BV616" s="1478"/>
      <c r="BW616" s="1478"/>
      <c r="BX616" s="1478">
        <f t="shared" si="7"/>
        <v>0</v>
      </c>
      <c r="BY616" s="1478"/>
      <c r="BZ616" s="1478"/>
      <c r="CA616" s="1478"/>
      <c r="CB616" s="1478"/>
      <c r="CC616" s="1478">
        <f t="shared" si="8"/>
        <v>0</v>
      </c>
      <c r="CD616" s="1478"/>
      <c r="CE616" s="1478"/>
      <c r="CF616" s="1478"/>
      <c r="CG616" s="1478"/>
      <c r="CH616" s="1478">
        <f t="shared" si="9"/>
        <v>0</v>
      </c>
      <c r="CI616" s="1478"/>
      <c r="CJ616" s="1478"/>
      <c r="CK616" s="1478"/>
      <c r="CL616" s="1478"/>
      <c r="CM616" s="1478">
        <f t="shared" si="10"/>
        <v>0</v>
      </c>
      <c r="CN616" s="1478"/>
      <c r="CO616" s="1478"/>
      <c r="CP616" s="1478"/>
      <c r="CQ616" s="1478"/>
      <c r="CR616" s="6"/>
      <c r="CS616" s="1496">
        <f t="shared" si="11"/>
        <v>0</v>
      </c>
      <c r="CT616" s="1496"/>
      <c r="CU616" s="1496"/>
      <c r="CV616" s="1496"/>
      <c r="CW616" s="1496"/>
      <c r="CX616" s="1496">
        <f t="shared" si="12"/>
        <v>0</v>
      </c>
      <c r="CY616" s="1496"/>
      <c r="CZ616" s="1496"/>
      <c r="DA616" s="1496"/>
      <c r="DB616" s="1496"/>
      <c r="DC616" s="1496">
        <f t="shared" si="13"/>
        <v>0</v>
      </c>
      <c r="DD616" s="1496"/>
      <c r="DE616" s="1496"/>
      <c r="DF616" s="1496"/>
      <c r="DG616" s="1496"/>
      <c r="DH616" s="1496">
        <f t="shared" si="14"/>
        <v>0</v>
      </c>
      <c r="DI616" s="1496"/>
      <c r="DJ616" s="1496"/>
      <c r="DK616" s="1496"/>
      <c r="DL616" s="1496"/>
      <c r="DM616" s="1496">
        <f t="shared" si="15"/>
        <v>0</v>
      </c>
      <c r="DN616" s="1496"/>
      <c r="DO616" s="1496"/>
      <c r="DP616" s="1496"/>
      <c r="DQ616" s="1496"/>
      <c r="DR616" s="1496">
        <f t="shared" si="16"/>
        <v>0</v>
      </c>
      <c r="DS616" s="1496"/>
      <c r="DT616" s="1496"/>
      <c r="DU616" s="1496"/>
      <c r="DV616" s="1496"/>
      <c r="DX616" s="1473" t="str">
        <f t="shared" si="17"/>
        <v/>
      </c>
      <c r="DY616" s="1474"/>
      <c r="DZ616" s="1474"/>
      <c r="EA616" s="1474"/>
      <c r="EB616" s="1475"/>
      <c r="EC616" s="1473" t="str">
        <f t="shared" si="18"/>
        <v/>
      </c>
      <c r="ED616" s="1474"/>
      <c r="EE616" s="1474"/>
      <c r="EF616" s="1474"/>
      <c r="EG616" s="1475"/>
      <c r="EH616" s="1473" t="str">
        <f t="shared" si="19"/>
        <v/>
      </c>
      <c r="EI616" s="1474"/>
      <c r="EJ616" s="1474"/>
      <c r="EK616" s="1474"/>
      <c r="EL616" s="1475"/>
      <c r="EM616" s="1473" t="str">
        <f t="shared" si="20"/>
        <v/>
      </c>
      <c r="EN616" s="1474"/>
      <c r="EO616" s="1474"/>
      <c r="EP616" s="1474"/>
      <c r="EQ616" s="1475"/>
      <c r="ER616" s="1473" t="str">
        <f t="shared" si="21"/>
        <v/>
      </c>
      <c r="ES616" s="1474"/>
      <c r="ET616" s="1474"/>
      <c r="EU616" s="1474"/>
      <c r="EV616" s="1475"/>
      <c r="EW616" s="1473" t="str">
        <f t="shared" si="22"/>
        <v/>
      </c>
      <c r="EX616" s="1474"/>
      <c r="EY616" s="1474"/>
      <c r="EZ616" s="1474"/>
      <c r="FA616" s="1475"/>
    </row>
    <row r="617" spans="1:157" ht="13.05" customHeight="1">
      <c r="A617" s="1266" t="s">
        <v>552</v>
      </c>
      <c r="B617" s="1266"/>
      <c r="C617" s="1266"/>
      <c r="D617" s="1266"/>
      <c r="E617" s="1266"/>
      <c r="F617" s="1266"/>
      <c r="G617" s="1266"/>
      <c r="H617" s="1266"/>
      <c r="I617" s="1266"/>
      <c r="J617" s="1266"/>
      <c r="K617" s="1266"/>
      <c r="L617" s="1266"/>
      <c r="M617" s="1266"/>
      <c r="N617" s="1266"/>
      <c r="O617" s="1266"/>
      <c r="P617" s="1266"/>
      <c r="Q617" s="1266"/>
      <c r="R617" s="1266"/>
      <c r="S617" s="1266"/>
      <c r="T617" s="1266"/>
      <c r="U617" s="1266"/>
      <c r="V617" s="1266"/>
      <c r="W617" s="1266"/>
      <c r="X617" s="1266"/>
      <c r="Y617" s="1266"/>
      <c r="Z617" s="1266"/>
      <c r="AA617" s="1266"/>
      <c r="AB617" s="1266"/>
      <c r="AC617" s="1266"/>
      <c r="AD617" s="1266"/>
      <c r="AE617" s="1266"/>
      <c r="AF617" s="1266"/>
      <c r="AG617" s="1266"/>
      <c r="AH617" s="1266"/>
      <c r="AI617" s="1266"/>
      <c r="AJ617" s="1266"/>
      <c r="AK617" s="1266"/>
      <c r="AL617" s="1266"/>
      <c r="AM617" s="1266"/>
      <c r="AN617" s="1266"/>
      <c r="AO617" s="1266"/>
      <c r="AP617" s="1266"/>
      <c r="AQ617" s="1266"/>
      <c r="AR617" s="1266"/>
      <c r="AS617" s="1266"/>
      <c r="AT617" s="1266"/>
      <c r="AZ617" s="3"/>
      <c r="BA617" s="3"/>
      <c r="BB617" s="3"/>
      <c r="BC617" s="3"/>
      <c r="BD617" s="3"/>
      <c r="BE617" s="1473">
        <f t="shared" si="1"/>
        <v>0</v>
      </c>
      <c r="BF617" s="1475"/>
      <c r="BG617" s="1671">
        <f t="shared" si="2"/>
        <v>0</v>
      </c>
      <c r="BH617" s="1673"/>
      <c r="BI617" s="1473">
        <f t="shared" si="3"/>
        <v>0</v>
      </c>
      <c r="BJ617" s="1475"/>
      <c r="BK617" s="1671">
        <f t="shared" si="4"/>
        <v>0</v>
      </c>
      <c r="BL617" s="1673"/>
      <c r="BM617" s="3"/>
      <c r="BN617" s="1479">
        <f t="shared" si="5"/>
        <v>0</v>
      </c>
      <c r="BO617" s="1480"/>
      <c r="BP617" s="1480"/>
      <c r="BQ617" s="1480"/>
      <c r="BR617" s="1481"/>
      <c r="BS617" s="1478">
        <f t="shared" si="6"/>
        <v>0</v>
      </c>
      <c r="BT617" s="1478"/>
      <c r="BU617" s="1478"/>
      <c r="BV617" s="1478"/>
      <c r="BW617" s="1478"/>
      <c r="BX617" s="1478">
        <f t="shared" si="7"/>
        <v>0</v>
      </c>
      <c r="BY617" s="1478"/>
      <c r="BZ617" s="1478"/>
      <c r="CA617" s="1478"/>
      <c r="CB617" s="1478"/>
      <c r="CC617" s="1478">
        <f t="shared" si="8"/>
        <v>0</v>
      </c>
      <c r="CD617" s="1478"/>
      <c r="CE617" s="1478"/>
      <c r="CF617" s="1478"/>
      <c r="CG617" s="1478"/>
      <c r="CH617" s="1478">
        <f t="shared" si="9"/>
        <v>0</v>
      </c>
      <c r="CI617" s="1478"/>
      <c r="CJ617" s="1478"/>
      <c r="CK617" s="1478"/>
      <c r="CL617" s="1478"/>
      <c r="CM617" s="1478">
        <f t="shared" si="10"/>
        <v>0</v>
      </c>
      <c r="CN617" s="1478"/>
      <c r="CO617" s="1478"/>
      <c r="CP617" s="1478"/>
      <c r="CQ617" s="1478"/>
      <c r="CR617" s="6"/>
      <c r="CS617" s="1496">
        <f t="shared" si="11"/>
        <v>0</v>
      </c>
      <c r="CT617" s="1496"/>
      <c r="CU617" s="1496"/>
      <c r="CV617" s="1496"/>
      <c r="CW617" s="1496"/>
      <c r="CX617" s="1496">
        <f t="shared" si="12"/>
        <v>0</v>
      </c>
      <c r="CY617" s="1496"/>
      <c r="CZ617" s="1496"/>
      <c r="DA617" s="1496"/>
      <c r="DB617" s="1496"/>
      <c r="DC617" s="1496">
        <f t="shared" si="13"/>
        <v>0</v>
      </c>
      <c r="DD617" s="1496"/>
      <c r="DE617" s="1496"/>
      <c r="DF617" s="1496"/>
      <c r="DG617" s="1496"/>
      <c r="DH617" s="1496">
        <f t="shared" si="14"/>
        <v>0</v>
      </c>
      <c r="DI617" s="1496"/>
      <c r="DJ617" s="1496"/>
      <c r="DK617" s="1496"/>
      <c r="DL617" s="1496"/>
      <c r="DM617" s="1496">
        <f t="shared" si="15"/>
        <v>0</v>
      </c>
      <c r="DN617" s="1496"/>
      <c r="DO617" s="1496"/>
      <c r="DP617" s="1496"/>
      <c r="DQ617" s="1496"/>
      <c r="DR617" s="1496">
        <f t="shared" si="16"/>
        <v>0</v>
      </c>
      <c r="DS617" s="1496"/>
      <c r="DT617" s="1496"/>
      <c r="DU617" s="1496"/>
      <c r="DV617" s="1496"/>
      <c r="DX617" s="1473" t="str">
        <f t="shared" si="17"/>
        <v/>
      </c>
      <c r="DY617" s="1474"/>
      <c r="DZ617" s="1474"/>
      <c r="EA617" s="1474"/>
      <c r="EB617" s="1475"/>
      <c r="EC617" s="1473" t="str">
        <f t="shared" si="18"/>
        <v/>
      </c>
      <c r="ED617" s="1474"/>
      <c r="EE617" s="1474"/>
      <c r="EF617" s="1474"/>
      <c r="EG617" s="1475"/>
      <c r="EH617" s="1473" t="str">
        <f t="shared" si="19"/>
        <v/>
      </c>
      <c r="EI617" s="1474"/>
      <c r="EJ617" s="1474"/>
      <c r="EK617" s="1474"/>
      <c r="EL617" s="1475"/>
      <c r="EM617" s="1473" t="str">
        <f t="shared" si="20"/>
        <v/>
      </c>
      <c r="EN617" s="1474"/>
      <c r="EO617" s="1474"/>
      <c r="EP617" s="1474"/>
      <c r="EQ617" s="1475"/>
      <c r="ER617" s="1473" t="str">
        <f t="shared" si="21"/>
        <v/>
      </c>
      <c r="ES617" s="1474"/>
      <c r="ET617" s="1474"/>
      <c r="EU617" s="1474"/>
      <c r="EV617" s="1475"/>
      <c r="EW617" s="1473" t="str">
        <f t="shared" si="22"/>
        <v/>
      </c>
      <c r="EX617" s="1474"/>
      <c r="EY617" s="1474"/>
      <c r="EZ617" s="1474"/>
      <c r="FA617" s="1475"/>
    </row>
    <row r="618" spans="1:157" ht="13.05" customHeight="1">
      <c r="A618" s="1266"/>
      <c r="B618" s="1266"/>
      <c r="C618" s="1266"/>
      <c r="D618" s="1266"/>
      <c r="E618" s="1266"/>
      <c r="F618" s="1266"/>
      <c r="G618" s="1266"/>
      <c r="H618" s="1266"/>
      <c r="I618" s="1266"/>
      <c r="J618" s="1266"/>
      <c r="K618" s="1266"/>
      <c r="L618" s="1266"/>
      <c r="M618" s="1266"/>
      <c r="N618" s="1266"/>
      <c r="O618" s="1266"/>
      <c r="P618" s="1266"/>
      <c r="Q618" s="1266"/>
      <c r="R618" s="1266"/>
      <c r="S618" s="1266"/>
      <c r="T618" s="1266"/>
      <c r="U618" s="1266"/>
      <c r="V618" s="1266"/>
      <c r="W618" s="1266"/>
      <c r="X618" s="1266"/>
      <c r="Y618" s="1266"/>
      <c r="Z618" s="1266"/>
      <c r="AA618" s="1266"/>
      <c r="AB618" s="1266"/>
      <c r="AC618" s="1266"/>
      <c r="AD618" s="1266"/>
      <c r="AE618" s="1266"/>
      <c r="AF618" s="1266"/>
      <c r="AG618" s="1266"/>
      <c r="AH618" s="1266"/>
      <c r="AI618" s="1266"/>
      <c r="AJ618" s="1266"/>
      <c r="AK618" s="1266"/>
      <c r="AL618" s="1266"/>
      <c r="AM618" s="1266"/>
      <c r="AN618" s="1266"/>
      <c r="AO618" s="1266"/>
      <c r="AP618" s="1266"/>
      <c r="AQ618" s="1266"/>
      <c r="AR618" s="1266"/>
      <c r="AS618" s="1266"/>
      <c r="AT618" s="1266"/>
      <c r="AZ618" s="3"/>
      <c r="BA618" s="3"/>
      <c r="BB618" s="3"/>
      <c r="BC618" s="3"/>
      <c r="BD618" s="3"/>
      <c r="BE618" s="1473">
        <f t="shared" si="1"/>
        <v>0</v>
      </c>
      <c r="BF618" s="1475"/>
      <c r="BG618" s="1671">
        <f t="shared" si="2"/>
        <v>0</v>
      </c>
      <c r="BH618" s="1673"/>
      <c r="BI618" s="1473">
        <f t="shared" si="3"/>
        <v>0</v>
      </c>
      <c r="BJ618" s="1475"/>
      <c r="BK618" s="1671">
        <f t="shared" si="4"/>
        <v>0</v>
      </c>
      <c r="BL618" s="1673"/>
      <c r="BM618" s="3"/>
      <c r="BN618" s="1479">
        <f t="shared" si="5"/>
        <v>0</v>
      </c>
      <c r="BO618" s="1480"/>
      <c r="BP618" s="1480"/>
      <c r="BQ618" s="1480"/>
      <c r="BR618" s="1481"/>
      <c r="BS618" s="1478">
        <f t="shared" si="6"/>
        <v>0</v>
      </c>
      <c r="BT618" s="1478"/>
      <c r="BU618" s="1478"/>
      <c r="BV618" s="1478"/>
      <c r="BW618" s="1478"/>
      <c r="BX618" s="1478">
        <f t="shared" si="7"/>
        <v>0</v>
      </c>
      <c r="BY618" s="1478"/>
      <c r="BZ618" s="1478"/>
      <c r="CA618" s="1478"/>
      <c r="CB618" s="1478"/>
      <c r="CC618" s="1478">
        <f t="shared" si="8"/>
        <v>0</v>
      </c>
      <c r="CD618" s="1478"/>
      <c r="CE618" s="1478"/>
      <c r="CF618" s="1478"/>
      <c r="CG618" s="1478"/>
      <c r="CH618" s="1478">
        <f t="shared" si="9"/>
        <v>0</v>
      </c>
      <c r="CI618" s="1478"/>
      <c r="CJ618" s="1478"/>
      <c r="CK618" s="1478"/>
      <c r="CL618" s="1478"/>
      <c r="CM618" s="1478">
        <f t="shared" si="10"/>
        <v>0</v>
      </c>
      <c r="CN618" s="1478"/>
      <c r="CO618" s="1478"/>
      <c r="CP618" s="1478"/>
      <c r="CQ618" s="1478"/>
      <c r="CR618" s="6"/>
      <c r="CS618" s="1496">
        <f t="shared" si="11"/>
        <v>0</v>
      </c>
      <c r="CT618" s="1496"/>
      <c r="CU618" s="1496"/>
      <c r="CV618" s="1496"/>
      <c r="CW618" s="1496"/>
      <c r="CX618" s="1496">
        <f t="shared" si="12"/>
        <v>0</v>
      </c>
      <c r="CY618" s="1496"/>
      <c r="CZ618" s="1496"/>
      <c r="DA618" s="1496"/>
      <c r="DB618" s="1496"/>
      <c r="DC618" s="1496">
        <f t="shared" si="13"/>
        <v>0</v>
      </c>
      <c r="DD618" s="1496"/>
      <c r="DE618" s="1496"/>
      <c r="DF618" s="1496"/>
      <c r="DG618" s="1496"/>
      <c r="DH618" s="1496">
        <f t="shared" si="14"/>
        <v>0</v>
      </c>
      <c r="DI618" s="1496"/>
      <c r="DJ618" s="1496"/>
      <c r="DK618" s="1496"/>
      <c r="DL618" s="1496"/>
      <c r="DM618" s="1496">
        <f t="shared" si="15"/>
        <v>0</v>
      </c>
      <c r="DN618" s="1496"/>
      <c r="DO618" s="1496"/>
      <c r="DP618" s="1496"/>
      <c r="DQ618" s="1496"/>
      <c r="DR618" s="1496">
        <f t="shared" si="16"/>
        <v>0</v>
      </c>
      <c r="DS618" s="1496"/>
      <c r="DT618" s="1496"/>
      <c r="DU618" s="1496"/>
      <c r="DV618" s="1496"/>
      <c r="DX618" s="1473" t="str">
        <f t="shared" si="17"/>
        <v/>
      </c>
      <c r="DY618" s="1474"/>
      <c r="DZ618" s="1474"/>
      <c r="EA618" s="1474"/>
      <c r="EB618" s="1475"/>
      <c r="EC618" s="1473" t="str">
        <f t="shared" si="18"/>
        <v/>
      </c>
      <c r="ED618" s="1474"/>
      <c r="EE618" s="1474"/>
      <c r="EF618" s="1474"/>
      <c r="EG618" s="1475"/>
      <c r="EH618" s="1473" t="str">
        <f t="shared" si="19"/>
        <v/>
      </c>
      <c r="EI618" s="1474"/>
      <c r="EJ618" s="1474"/>
      <c r="EK618" s="1474"/>
      <c r="EL618" s="1475"/>
      <c r="EM618" s="1473" t="str">
        <f t="shared" si="20"/>
        <v/>
      </c>
      <c r="EN618" s="1474"/>
      <c r="EO618" s="1474"/>
      <c r="EP618" s="1474"/>
      <c r="EQ618" s="1475"/>
      <c r="ER618" s="1473" t="str">
        <f t="shared" si="21"/>
        <v/>
      </c>
      <c r="ES618" s="1474"/>
      <c r="ET618" s="1474"/>
      <c r="EU618" s="1474"/>
      <c r="EV618" s="1475"/>
      <c r="EW618" s="1473" t="str">
        <f t="shared" si="22"/>
        <v/>
      </c>
      <c r="EX618" s="1474"/>
      <c r="EY618" s="1474"/>
      <c r="EZ618" s="1474"/>
      <c r="FA618" s="1475"/>
    </row>
    <row r="619" spans="1:157" ht="13.05" customHeight="1">
      <c r="AZ619" s="3"/>
      <c r="BA619" s="3"/>
      <c r="BB619" s="3"/>
      <c r="BC619" s="3"/>
      <c r="BD619" s="3"/>
      <c r="BE619" s="1473">
        <f t="shared" si="1"/>
        <v>0</v>
      </c>
      <c r="BF619" s="1475"/>
      <c r="BG619" s="1671">
        <f t="shared" si="2"/>
        <v>0</v>
      </c>
      <c r="BH619" s="1673"/>
      <c r="BI619" s="1473">
        <f t="shared" si="3"/>
        <v>0</v>
      </c>
      <c r="BJ619" s="1475"/>
      <c r="BK619" s="1671">
        <f t="shared" si="4"/>
        <v>0</v>
      </c>
      <c r="BL619" s="1673"/>
      <c r="BM619" s="3"/>
      <c r="BN619" s="1479">
        <f t="shared" si="5"/>
        <v>0</v>
      </c>
      <c r="BO619" s="1480"/>
      <c r="BP619" s="1480"/>
      <c r="BQ619" s="1480"/>
      <c r="BR619" s="1481"/>
      <c r="BS619" s="1478">
        <f t="shared" si="6"/>
        <v>0</v>
      </c>
      <c r="BT619" s="1478"/>
      <c r="BU619" s="1478"/>
      <c r="BV619" s="1478"/>
      <c r="BW619" s="1478"/>
      <c r="BX619" s="1478">
        <f t="shared" si="7"/>
        <v>0</v>
      </c>
      <c r="BY619" s="1478"/>
      <c r="BZ619" s="1478"/>
      <c r="CA619" s="1478"/>
      <c r="CB619" s="1478"/>
      <c r="CC619" s="1478">
        <f t="shared" si="8"/>
        <v>0</v>
      </c>
      <c r="CD619" s="1478"/>
      <c r="CE619" s="1478"/>
      <c r="CF619" s="1478"/>
      <c r="CG619" s="1478"/>
      <c r="CH619" s="1478">
        <f t="shared" si="9"/>
        <v>0</v>
      </c>
      <c r="CI619" s="1478"/>
      <c r="CJ619" s="1478"/>
      <c r="CK619" s="1478"/>
      <c r="CL619" s="1478"/>
      <c r="CM619" s="1478">
        <f t="shared" si="10"/>
        <v>0</v>
      </c>
      <c r="CN619" s="1478"/>
      <c r="CO619" s="1478"/>
      <c r="CP619" s="1478"/>
      <c r="CQ619" s="1478"/>
      <c r="CR619" s="6"/>
      <c r="CS619" s="1496">
        <f t="shared" si="11"/>
        <v>0</v>
      </c>
      <c r="CT619" s="1496"/>
      <c r="CU619" s="1496"/>
      <c r="CV619" s="1496"/>
      <c r="CW619" s="1496"/>
      <c r="CX619" s="1496">
        <f t="shared" si="12"/>
        <v>0</v>
      </c>
      <c r="CY619" s="1496"/>
      <c r="CZ619" s="1496"/>
      <c r="DA619" s="1496"/>
      <c r="DB619" s="1496"/>
      <c r="DC619" s="1496">
        <f t="shared" si="13"/>
        <v>0</v>
      </c>
      <c r="DD619" s="1496"/>
      <c r="DE619" s="1496"/>
      <c r="DF619" s="1496"/>
      <c r="DG619" s="1496"/>
      <c r="DH619" s="1496">
        <f t="shared" si="14"/>
        <v>0</v>
      </c>
      <c r="DI619" s="1496"/>
      <c r="DJ619" s="1496"/>
      <c r="DK619" s="1496"/>
      <c r="DL619" s="1496"/>
      <c r="DM619" s="1496">
        <f t="shared" si="15"/>
        <v>0</v>
      </c>
      <c r="DN619" s="1496"/>
      <c r="DO619" s="1496"/>
      <c r="DP619" s="1496"/>
      <c r="DQ619" s="1496"/>
      <c r="DR619" s="1496">
        <f t="shared" si="16"/>
        <v>0</v>
      </c>
      <c r="DS619" s="1496"/>
      <c r="DT619" s="1496"/>
      <c r="DU619" s="1496"/>
      <c r="DV619" s="1496"/>
      <c r="DX619" s="1473" t="str">
        <f t="shared" si="17"/>
        <v/>
      </c>
      <c r="DY619" s="1474"/>
      <c r="DZ619" s="1474"/>
      <c r="EA619" s="1474"/>
      <c r="EB619" s="1475"/>
      <c r="EC619" s="1473" t="str">
        <f t="shared" si="18"/>
        <v/>
      </c>
      <c r="ED619" s="1474"/>
      <c r="EE619" s="1474"/>
      <c r="EF619" s="1474"/>
      <c r="EG619" s="1475"/>
      <c r="EH619" s="1473" t="str">
        <f t="shared" si="19"/>
        <v/>
      </c>
      <c r="EI619" s="1474"/>
      <c r="EJ619" s="1474"/>
      <c r="EK619" s="1474"/>
      <c r="EL619" s="1475"/>
      <c r="EM619" s="1473" t="str">
        <f t="shared" si="20"/>
        <v/>
      </c>
      <c r="EN619" s="1474"/>
      <c r="EO619" s="1474"/>
      <c r="EP619" s="1474"/>
      <c r="EQ619" s="1475"/>
      <c r="ER619" s="1473" t="str">
        <f t="shared" si="21"/>
        <v/>
      </c>
      <c r="ES619" s="1474"/>
      <c r="ET619" s="1474"/>
      <c r="EU619" s="1474"/>
      <c r="EV619" s="1475"/>
      <c r="EW619" s="1473" t="str">
        <f t="shared" si="22"/>
        <v/>
      </c>
      <c r="EX619" s="1474"/>
      <c r="EY619" s="1474"/>
      <c r="EZ619" s="1474"/>
      <c r="FA619" s="1475"/>
    </row>
    <row r="620" spans="1:157" ht="13.05" customHeight="1">
      <c r="A620" s="2" t="s">
        <v>320</v>
      </c>
      <c r="B620" s="2"/>
      <c r="C620" s="2" t="s">
        <v>21</v>
      </c>
      <c r="AZ620" s="3"/>
      <c r="BA620" s="3"/>
      <c r="BB620" s="3"/>
      <c r="BC620" s="3"/>
      <c r="BD620" s="3"/>
      <c r="BE620" s="1473">
        <f t="shared" si="1"/>
        <v>0</v>
      </c>
      <c r="BF620" s="1475"/>
      <c r="BG620" s="1671">
        <f t="shared" si="2"/>
        <v>0</v>
      </c>
      <c r="BH620" s="1673"/>
      <c r="BI620" s="1473">
        <f t="shared" si="3"/>
        <v>0</v>
      </c>
      <c r="BJ620" s="1475"/>
      <c r="BK620" s="1671">
        <f t="shared" si="4"/>
        <v>0</v>
      </c>
      <c r="BL620" s="1673"/>
      <c r="BM620" s="3"/>
      <c r="BN620" s="1479">
        <f t="shared" si="5"/>
        <v>0</v>
      </c>
      <c r="BO620" s="1480"/>
      <c r="BP620" s="1480"/>
      <c r="BQ620" s="1480"/>
      <c r="BR620" s="1481"/>
      <c r="BS620" s="1478">
        <f t="shared" si="6"/>
        <v>0</v>
      </c>
      <c r="BT620" s="1478"/>
      <c r="BU620" s="1478"/>
      <c r="BV620" s="1478"/>
      <c r="BW620" s="1478"/>
      <c r="BX620" s="1478">
        <f t="shared" si="7"/>
        <v>0</v>
      </c>
      <c r="BY620" s="1478"/>
      <c r="BZ620" s="1478"/>
      <c r="CA620" s="1478"/>
      <c r="CB620" s="1478"/>
      <c r="CC620" s="1478">
        <f t="shared" si="8"/>
        <v>0</v>
      </c>
      <c r="CD620" s="1478"/>
      <c r="CE620" s="1478"/>
      <c r="CF620" s="1478"/>
      <c r="CG620" s="1478"/>
      <c r="CH620" s="1478">
        <f t="shared" si="9"/>
        <v>0</v>
      </c>
      <c r="CI620" s="1478"/>
      <c r="CJ620" s="1478"/>
      <c r="CK620" s="1478"/>
      <c r="CL620" s="1478"/>
      <c r="CM620" s="1478">
        <f t="shared" si="10"/>
        <v>0</v>
      </c>
      <c r="CN620" s="1478"/>
      <c r="CO620" s="1478"/>
      <c r="CP620" s="1478"/>
      <c r="CQ620" s="1478"/>
      <c r="CR620" s="6"/>
      <c r="CS620" s="1496">
        <f t="shared" si="11"/>
        <v>0</v>
      </c>
      <c r="CT620" s="1496"/>
      <c r="CU620" s="1496"/>
      <c r="CV620" s="1496"/>
      <c r="CW620" s="1496"/>
      <c r="CX620" s="1496">
        <f t="shared" si="12"/>
        <v>0</v>
      </c>
      <c r="CY620" s="1496"/>
      <c r="CZ620" s="1496"/>
      <c r="DA620" s="1496"/>
      <c r="DB620" s="1496"/>
      <c r="DC620" s="1496">
        <f t="shared" si="13"/>
        <v>0</v>
      </c>
      <c r="DD620" s="1496"/>
      <c r="DE620" s="1496"/>
      <c r="DF620" s="1496"/>
      <c r="DG620" s="1496"/>
      <c r="DH620" s="1496">
        <f t="shared" si="14"/>
        <v>0</v>
      </c>
      <c r="DI620" s="1496"/>
      <c r="DJ620" s="1496"/>
      <c r="DK620" s="1496"/>
      <c r="DL620" s="1496"/>
      <c r="DM620" s="1496">
        <f t="shared" si="15"/>
        <v>0</v>
      </c>
      <c r="DN620" s="1496"/>
      <c r="DO620" s="1496"/>
      <c r="DP620" s="1496"/>
      <c r="DQ620" s="1496"/>
      <c r="DR620" s="1496">
        <f t="shared" si="16"/>
        <v>0</v>
      </c>
      <c r="DS620" s="1496"/>
      <c r="DT620" s="1496"/>
      <c r="DU620" s="1496"/>
      <c r="DV620" s="1496"/>
      <c r="DX620" s="1473" t="str">
        <f t="shared" si="17"/>
        <v/>
      </c>
      <c r="DY620" s="1474"/>
      <c r="DZ620" s="1474"/>
      <c r="EA620" s="1474"/>
      <c r="EB620" s="1475"/>
      <c r="EC620" s="1473" t="str">
        <f t="shared" si="18"/>
        <v/>
      </c>
      <c r="ED620" s="1474"/>
      <c r="EE620" s="1474"/>
      <c r="EF620" s="1474"/>
      <c r="EG620" s="1475"/>
      <c r="EH620" s="1473" t="str">
        <f t="shared" si="19"/>
        <v/>
      </c>
      <c r="EI620" s="1474"/>
      <c r="EJ620" s="1474"/>
      <c r="EK620" s="1474"/>
      <c r="EL620" s="1475"/>
      <c r="EM620" s="1473" t="str">
        <f t="shared" si="20"/>
        <v/>
      </c>
      <c r="EN620" s="1474"/>
      <c r="EO620" s="1474"/>
      <c r="EP620" s="1474"/>
      <c r="EQ620" s="1475"/>
      <c r="ER620" s="1473" t="str">
        <f t="shared" si="21"/>
        <v/>
      </c>
      <c r="ES620" s="1474"/>
      <c r="ET620" s="1474"/>
      <c r="EU620" s="1474"/>
      <c r="EV620" s="1475"/>
      <c r="EW620" s="1473" t="str">
        <f t="shared" si="22"/>
        <v/>
      </c>
      <c r="EX620" s="1474"/>
      <c r="EY620" s="1474"/>
      <c r="EZ620" s="1474"/>
      <c r="FA620" s="1475"/>
    </row>
    <row r="621" spans="1:157" ht="13.05" customHeight="1">
      <c r="A621" s="2"/>
      <c r="B621" s="2"/>
      <c r="C621" s="2"/>
      <c r="AZ621" s="3"/>
      <c r="BA621" s="3"/>
      <c r="BB621" s="3"/>
      <c r="BC621" s="3"/>
      <c r="BD621" s="3"/>
      <c r="BE621" s="1473">
        <f t="shared" si="1"/>
        <v>0</v>
      </c>
      <c r="BF621" s="1475"/>
      <c r="BG621" s="1671">
        <f t="shared" si="2"/>
        <v>0</v>
      </c>
      <c r="BH621" s="1673"/>
      <c r="BI621" s="1473">
        <f t="shared" si="3"/>
        <v>0</v>
      </c>
      <c r="BJ621" s="1475"/>
      <c r="BK621" s="1671">
        <f t="shared" si="4"/>
        <v>0</v>
      </c>
      <c r="BL621" s="1673"/>
      <c r="BM621" s="3"/>
      <c r="BN621" s="1479">
        <f t="shared" si="5"/>
        <v>0</v>
      </c>
      <c r="BO621" s="1480"/>
      <c r="BP621" s="1480"/>
      <c r="BQ621" s="1480"/>
      <c r="BR621" s="1481"/>
      <c r="BS621" s="1478">
        <f t="shared" si="6"/>
        <v>0</v>
      </c>
      <c r="BT621" s="1478"/>
      <c r="BU621" s="1478"/>
      <c r="BV621" s="1478"/>
      <c r="BW621" s="1478"/>
      <c r="BX621" s="1478">
        <f t="shared" si="7"/>
        <v>0</v>
      </c>
      <c r="BY621" s="1478"/>
      <c r="BZ621" s="1478"/>
      <c r="CA621" s="1478"/>
      <c r="CB621" s="1478"/>
      <c r="CC621" s="1478">
        <f t="shared" si="8"/>
        <v>0</v>
      </c>
      <c r="CD621" s="1478"/>
      <c r="CE621" s="1478"/>
      <c r="CF621" s="1478"/>
      <c r="CG621" s="1478"/>
      <c r="CH621" s="1478">
        <f t="shared" si="9"/>
        <v>0</v>
      </c>
      <c r="CI621" s="1478"/>
      <c r="CJ621" s="1478"/>
      <c r="CK621" s="1478"/>
      <c r="CL621" s="1478"/>
      <c r="CM621" s="1478">
        <f t="shared" si="10"/>
        <v>0</v>
      </c>
      <c r="CN621" s="1478"/>
      <c r="CO621" s="1478"/>
      <c r="CP621" s="1478"/>
      <c r="CQ621" s="1478"/>
      <c r="CR621" s="6"/>
      <c r="CS621" s="1496">
        <f t="shared" si="11"/>
        <v>0</v>
      </c>
      <c r="CT621" s="1496"/>
      <c r="CU621" s="1496"/>
      <c r="CV621" s="1496"/>
      <c r="CW621" s="1496"/>
      <c r="CX621" s="1496">
        <f t="shared" si="12"/>
        <v>0</v>
      </c>
      <c r="CY621" s="1496"/>
      <c r="CZ621" s="1496"/>
      <c r="DA621" s="1496"/>
      <c r="DB621" s="1496"/>
      <c r="DC621" s="1496">
        <f t="shared" si="13"/>
        <v>0</v>
      </c>
      <c r="DD621" s="1496"/>
      <c r="DE621" s="1496"/>
      <c r="DF621" s="1496"/>
      <c r="DG621" s="1496"/>
      <c r="DH621" s="1496">
        <f t="shared" si="14"/>
        <v>0</v>
      </c>
      <c r="DI621" s="1496"/>
      <c r="DJ621" s="1496"/>
      <c r="DK621" s="1496"/>
      <c r="DL621" s="1496"/>
      <c r="DM621" s="1496">
        <f t="shared" si="15"/>
        <v>0</v>
      </c>
      <c r="DN621" s="1496"/>
      <c r="DO621" s="1496"/>
      <c r="DP621" s="1496"/>
      <c r="DQ621" s="1496"/>
      <c r="DR621" s="1496">
        <f t="shared" si="16"/>
        <v>0</v>
      </c>
      <c r="DS621" s="1496"/>
      <c r="DT621" s="1496"/>
      <c r="DU621" s="1496"/>
      <c r="DV621" s="1496"/>
      <c r="DX621" s="1473" t="str">
        <f t="shared" si="17"/>
        <v/>
      </c>
      <c r="DY621" s="1474"/>
      <c r="DZ621" s="1474"/>
      <c r="EA621" s="1474"/>
      <c r="EB621" s="1475"/>
      <c r="EC621" s="1473" t="str">
        <f t="shared" si="18"/>
        <v/>
      </c>
      <c r="ED621" s="1474"/>
      <c r="EE621" s="1474"/>
      <c r="EF621" s="1474"/>
      <c r="EG621" s="1475"/>
      <c r="EH621" s="1473" t="str">
        <f t="shared" si="19"/>
        <v/>
      </c>
      <c r="EI621" s="1474"/>
      <c r="EJ621" s="1474"/>
      <c r="EK621" s="1474"/>
      <c r="EL621" s="1475"/>
      <c r="EM621" s="1473" t="str">
        <f t="shared" si="20"/>
        <v/>
      </c>
      <c r="EN621" s="1474"/>
      <c r="EO621" s="1474"/>
      <c r="EP621" s="1474"/>
      <c r="EQ621" s="1475"/>
      <c r="ER621" s="1473" t="str">
        <f t="shared" si="21"/>
        <v/>
      </c>
      <c r="ES621" s="1474"/>
      <c r="ET621" s="1474"/>
      <c r="EU621" s="1474"/>
      <c r="EV621" s="1475"/>
      <c r="EW621" s="1473" t="str">
        <f t="shared" si="22"/>
        <v/>
      </c>
      <c r="EX621" s="1474"/>
      <c r="EY621" s="1474"/>
      <c r="EZ621" s="1474"/>
      <c r="FA621" s="1475"/>
    </row>
    <row r="622" spans="1:157" ht="13.05" customHeight="1">
      <c r="C622" s="2" t="s">
        <v>2414</v>
      </c>
      <c r="AZ622" s="3"/>
      <c r="BA622" s="3"/>
      <c r="BB622" s="3"/>
      <c r="BC622" s="3"/>
      <c r="BD622" s="3"/>
      <c r="BE622" s="1473">
        <f t="shared" si="1"/>
        <v>0</v>
      </c>
      <c r="BF622" s="1475"/>
      <c r="BG622" s="1671">
        <f t="shared" si="2"/>
        <v>0</v>
      </c>
      <c r="BH622" s="1673"/>
      <c r="BI622" s="1473">
        <f t="shared" si="3"/>
        <v>0</v>
      </c>
      <c r="BJ622" s="1475"/>
      <c r="BK622" s="1671">
        <f t="shared" si="4"/>
        <v>0</v>
      </c>
      <c r="BL622" s="1673"/>
      <c r="BM622" s="3"/>
      <c r="BN622" s="1479">
        <f t="shared" si="5"/>
        <v>0</v>
      </c>
      <c r="BO622" s="1480"/>
      <c r="BP622" s="1480"/>
      <c r="BQ622" s="1480"/>
      <c r="BR622" s="1481"/>
      <c r="BS622" s="1478">
        <f t="shared" si="6"/>
        <v>0</v>
      </c>
      <c r="BT622" s="1478"/>
      <c r="BU622" s="1478"/>
      <c r="BV622" s="1478"/>
      <c r="BW622" s="1478"/>
      <c r="BX622" s="1478">
        <f t="shared" si="7"/>
        <v>0</v>
      </c>
      <c r="BY622" s="1478"/>
      <c r="BZ622" s="1478"/>
      <c r="CA622" s="1478"/>
      <c r="CB622" s="1478"/>
      <c r="CC622" s="1478">
        <f t="shared" si="8"/>
        <v>0</v>
      </c>
      <c r="CD622" s="1478"/>
      <c r="CE622" s="1478"/>
      <c r="CF622" s="1478"/>
      <c r="CG622" s="1478"/>
      <c r="CH622" s="1478">
        <f t="shared" si="9"/>
        <v>0</v>
      </c>
      <c r="CI622" s="1478"/>
      <c r="CJ622" s="1478"/>
      <c r="CK622" s="1478"/>
      <c r="CL622" s="1478"/>
      <c r="CM622" s="1478">
        <f t="shared" si="10"/>
        <v>0</v>
      </c>
      <c r="CN622" s="1478"/>
      <c r="CO622" s="1478"/>
      <c r="CP622" s="1478"/>
      <c r="CQ622" s="1478"/>
      <c r="CR622" s="6"/>
      <c r="CS622" s="1496">
        <f t="shared" si="11"/>
        <v>0</v>
      </c>
      <c r="CT622" s="1496"/>
      <c r="CU622" s="1496"/>
      <c r="CV622" s="1496"/>
      <c r="CW622" s="1496"/>
      <c r="CX622" s="1496">
        <f t="shared" si="12"/>
        <v>0</v>
      </c>
      <c r="CY622" s="1496"/>
      <c r="CZ622" s="1496"/>
      <c r="DA622" s="1496"/>
      <c r="DB622" s="1496"/>
      <c r="DC622" s="1496">
        <f t="shared" si="13"/>
        <v>0</v>
      </c>
      <c r="DD622" s="1496"/>
      <c r="DE622" s="1496"/>
      <c r="DF622" s="1496"/>
      <c r="DG622" s="1496"/>
      <c r="DH622" s="1496">
        <f t="shared" si="14"/>
        <v>0</v>
      </c>
      <c r="DI622" s="1496"/>
      <c r="DJ622" s="1496"/>
      <c r="DK622" s="1496"/>
      <c r="DL622" s="1496"/>
      <c r="DM622" s="1496">
        <f t="shared" si="15"/>
        <v>0</v>
      </c>
      <c r="DN622" s="1496"/>
      <c r="DO622" s="1496"/>
      <c r="DP622" s="1496"/>
      <c r="DQ622" s="1496"/>
      <c r="DR622" s="1496">
        <f t="shared" si="16"/>
        <v>0</v>
      </c>
      <c r="DS622" s="1496"/>
      <c r="DT622" s="1496"/>
      <c r="DU622" s="1496"/>
      <c r="DV622" s="1496"/>
      <c r="DX622" s="1473" t="str">
        <f t="shared" si="17"/>
        <v/>
      </c>
      <c r="DY622" s="1474"/>
      <c r="DZ622" s="1474"/>
      <c r="EA622" s="1474"/>
      <c r="EB622" s="1475"/>
      <c r="EC622" s="1473" t="str">
        <f t="shared" si="18"/>
        <v/>
      </c>
      <c r="ED622" s="1474"/>
      <c r="EE622" s="1474"/>
      <c r="EF622" s="1474"/>
      <c r="EG622" s="1475"/>
      <c r="EH622" s="1473" t="str">
        <f t="shared" si="19"/>
        <v/>
      </c>
      <c r="EI622" s="1474"/>
      <c r="EJ622" s="1474"/>
      <c r="EK622" s="1474"/>
      <c r="EL622" s="1475"/>
      <c r="EM622" s="1473" t="str">
        <f t="shared" si="20"/>
        <v/>
      </c>
      <c r="EN622" s="1474"/>
      <c r="EO622" s="1474"/>
      <c r="EP622" s="1474"/>
      <c r="EQ622" s="1475"/>
      <c r="ER622" s="1473" t="str">
        <f t="shared" si="21"/>
        <v/>
      </c>
      <c r="ES622" s="1474"/>
      <c r="ET622" s="1474"/>
      <c r="EU622" s="1474"/>
      <c r="EV622" s="1475"/>
      <c r="EW622" s="1473" t="str">
        <f t="shared" si="22"/>
        <v/>
      </c>
      <c r="EX622" s="1474"/>
      <c r="EY622" s="1474"/>
      <c r="EZ622" s="1474"/>
      <c r="FA622" s="1475"/>
    </row>
    <row r="623" spans="1:157" ht="13.05" customHeight="1">
      <c r="B623" s="546"/>
      <c r="C623" s="2"/>
      <c r="AU623" s="3"/>
      <c r="AZ623" s="3"/>
      <c r="BA623" s="3"/>
      <c r="BB623" s="3"/>
      <c r="BC623" s="3"/>
      <c r="BD623" s="3"/>
      <c r="BE623" s="1473">
        <f t="shared" si="1"/>
        <v>0</v>
      </c>
      <c r="BF623" s="1475"/>
      <c r="BG623" s="1671">
        <f t="shared" si="2"/>
        <v>0</v>
      </c>
      <c r="BH623" s="1673"/>
      <c r="BI623" s="1473">
        <f t="shared" si="3"/>
        <v>0</v>
      </c>
      <c r="BJ623" s="1475"/>
      <c r="BK623" s="1671">
        <f t="shared" si="4"/>
        <v>0</v>
      </c>
      <c r="BL623" s="1673"/>
      <c r="BM623" s="3"/>
      <c r="BN623" s="1479">
        <f t="shared" si="5"/>
        <v>0</v>
      </c>
      <c r="BO623" s="1480"/>
      <c r="BP623" s="1480"/>
      <c r="BQ623" s="1480"/>
      <c r="BR623" s="1481"/>
      <c r="BS623" s="1478">
        <f t="shared" si="6"/>
        <v>0</v>
      </c>
      <c r="BT623" s="1478"/>
      <c r="BU623" s="1478"/>
      <c r="BV623" s="1478"/>
      <c r="BW623" s="1478"/>
      <c r="BX623" s="1478">
        <f t="shared" si="7"/>
        <v>0</v>
      </c>
      <c r="BY623" s="1478"/>
      <c r="BZ623" s="1478"/>
      <c r="CA623" s="1478"/>
      <c r="CB623" s="1478"/>
      <c r="CC623" s="1478">
        <f t="shared" si="8"/>
        <v>0</v>
      </c>
      <c r="CD623" s="1478"/>
      <c r="CE623" s="1478"/>
      <c r="CF623" s="1478"/>
      <c r="CG623" s="1478"/>
      <c r="CH623" s="1478">
        <f t="shared" si="9"/>
        <v>0</v>
      </c>
      <c r="CI623" s="1478"/>
      <c r="CJ623" s="1478"/>
      <c r="CK623" s="1478"/>
      <c r="CL623" s="1478"/>
      <c r="CM623" s="1478">
        <f t="shared" si="10"/>
        <v>0</v>
      </c>
      <c r="CN623" s="1478"/>
      <c r="CO623" s="1478"/>
      <c r="CP623" s="1478"/>
      <c r="CQ623" s="1478"/>
      <c r="CR623" s="6"/>
      <c r="CS623" s="1496">
        <f t="shared" si="11"/>
        <v>0</v>
      </c>
      <c r="CT623" s="1496"/>
      <c r="CU623" s="1496"/>
      <c r="CV623" s="1496"/>
      <c r="CW623" s="1496"/>
      <c r="CX623" s="1496">
        <f t="shared" si="12"/>
        <v>0</v>
      </c>
      <c r="CY623" s="1496"/>
      <c r="CZ623" s="1496"/>
      <c r="DA623" s="1496"/>
      <c r="DB623" s="1496"/>
      <c r="DC623" s="1496">
        <f t="shared" si="13"/>
        <v>0</v>
      </c>
      <c r="DD623" s="1496"/>
      <c r="DE623" s="1496"/>
      <c r="DF623" s="1496"/>
      <c r="DG623" s="1496"/>
      <c r="DH623" s="1496">
        <f t="shared" si="14"/>
        <v>0</v>
      </c>
      <c r="DI623" s="1496"/>
      <c r="DJ623" s="1496"/>
      <c r="DK623" s="1496"/>
      <c r="DL623" s="1496"/>
      <c r="DM623" s="1496">
        <f t="shared" si="15"/>
        <v>0</v>
      </c>
      <c r="DN623" s="1496"/>
      <c r="DO623" s="1496"/>
      <c r="DP623" s="1496"/>
      <c r="DQ623" s="1496"/>
      <c r="DR623" s="1496">
        <f t="shared" si="16"/>
        <v>0</v>
      </c>
      <c r="DS623" s="1496"/>
      <c r="DT623" s="1496"/>
      <c r="DU623" s="1496"/>
      <c r="DV623" s="1496"/>
      <c r="DX623" s="1473" t="str">
        <f t="shared" si="17"/>
        <v/>
      </c>
      <c r="DY623" s="1474"/>
      <c r="DZ623" s="1474"/>
      <c r="EA623" s="1474"/>
      <c r="EB623" s="1475"/>
      <c r="EC623" s="1473" t="str">
        <f t="shared" si="18"/>
        <v/>
      </c>
      <c r="ED623" s="1474"/>
      <c r="EE623" s="1474"/>
      <c r="EF623" s="1474"/>
      <c r="EG623" s="1475"/>
      <c r="EH623" s="1473" t="str">
        <f t="shared" si="19"/>
        <v/>
      </c>
      <c r="EI623" s="1474"/>
      <c r="EJ623" s="1474"/>
      <c r="EK623" s="1474"/>
      <c r="EL623" s="1475"/>
      <c r="EM623" s="1473" t="str">
        <f t="shared" si="20"/>
        <v/>
      </c>
      <c r="EN623" s="1474"/>
      <c r="EO623" s="1474"/>
      <c r="EP623" s="1474"/>
      <c r="EQ623" s="1475"/>
      <c r="ER623" s="1473" t="str">
        <f t="shared" si="21"/>
        <v/>
      </c>
      <c r="ES623" s="1474"/>
      <c r="ET623" s="1474"/>
      <c r="EU623" s="1474"/>
      <c r="EV623" s="1475"/>
      <c r="EW623" s="1473" t="str">
        <f t="shared" si="22"/>
        <v/>
      </c>
      <c r="EX623" s="1474"/>
      <c r="EY623" s="1474"/>
      <c r="EZ623" s="1474"/>
      <c r="FA623" s="1475"/>
    </row>
    <row r="624" spans="1:157" ht="13.05" customHeight="1">
      <c r="B624" s="1631" t="s">
        <v>2416</v>
      </c>
      <c r="C624" s="1631"/>
      <c r="D624" s="1631"/>
      <c r="E624" s="1631"/>
      <c r="F624" s="1631"/>
      <c r="G624" s="1631"/>
      <c r="H624" s="1631"/>
      <c r="I624" s="1631"/>
      <c r="J624" s="1631"/>
      <c r="K624" s="1631"/>
      <c r="L624" s="1631"/>
      <c r="M624" s="1462" t="s">
        <v>2417</v>
      </c>
      <c r="N624" s="1462"/>
      <c r="O624" s="1462"/>
      <c r="P624" s="1462"/>
      <c r="Q624" s="1462" t="s">
        <v>2041</v>
      </c>
      <c r="R624" s="1462"/>
      <c r="S624" s="1462"/>
      <c r="T624" s="1462" t="s">
        <v>2039</v>
      </c>
      <c r="U624" s="1462"/>
      <c r="V624" s="1462"/>
      <c r="W624" s="1463" t="s">
        <v>461</v>
      </c>
      <c r="X624" s="1463"/>
      <c r="Y624" s="1463"/>
      <c r="Z624" s="1467" t="s">
        <v>2446</v>
      </c>
      <c r="AA624" s="1467"/>
      <c r="AB624" s="1468"/>
      <c r="AC624" s="1745" t="s">
        <v>1862</v>
      </c>
      <c r="AD624" s="1746"/>
      <c r="AE624" s="1747"/>
      <c r="AF624" s="1728" t="s">
        <v>2225</v>
      </c>
      <c r="AG624" s="1467"/>
      <c r="AH624" s="1467"/>
      <c r="AI624" s="1467"/>
      <c r="AJ624" s="1468"/>
      <c r="AK624" s="1449" t="s">
        <v>2226</v>
      </c>
      <c r="AL624" s="1450"/>
      <c r="AM624" s="1450"/>
      <c r="AN624" s="1451"/>
      <c r="AO624" s="1462" t="s">
        <v>462</v>
      </c>
      <c r="AP624" s="1462"/>
      <c r="AQ624" s="1462"/>
      <c r="AR624" s="1462"/>
      <c r="AS624" s="1462"/>
      <c r="AU624" s="3"/>
      <c r="AZ624" s="3"/>
      <c r="BA624" s="3"/>
      <c r="BB624" s="3"/>
      <c r="BC624" s="3"/>
      <c r="BD624" s="3"/>
      <c r="BE624" s="1473">
        <f t="shared" si="1"/>
        <v>0</v>
      </c>
      <c r="BF624" s="1475"/>
      <c r="BG624" s="1671">
        <f t="shared" si="2"/>
        <v>0</v>
      </c>
      <c r="BH624" s="1673"/>
      <c r="BI624" s="1473">
        <f t="shared" si="3"/>
        <v>0</v>
      </c>
      <c r="BJ624" s="1475"/>
      <c r="BK624" s="1671">
        <f t="shared" si="4"/>
        <v>0</v>
      </c>
      <c r="BL624" s="1673"/>
      <c r="BM624" s="3"/>
      <c r="BN624" s="1479">
        <f t="shared" si="5"/>
        <v>0</v>
      </c>
      <c r="BO624" s="1480"/>
      <c r="BP624" s="1480"/>
      <c r="BQ624" s="1480"/>
      <c r="BR624" s="1481"/>
      <c r="BS624" s="1478">
        <f t="shared" si="6"/>
        <v>0</v>
      </c>
      <c r="BT624" s="1478"/>
      <c r="BU624" s="1478"/>
      <c r="BV624" s="1478"/>
      <c r="BW624" s="1478"/>
      <c r="BX624" s="1478">
        <f t="shared" si="7"/>
        <v>0</v>
      </c>
      <c r="BY624" s="1478"/>
      <c r="BZ624" s="1478"/>
      <c r="CA624" s="1478"/>
      <c r="CB624" s="1478"/>
      <c r="CC624" s="1478">
        <f t="shared" si="8"/>
        <v>0</v>
      </c>
      <c r="CD624" s="1478"/>
      <c r="CE624" s="1478"/>
      <c r="CF624" s="1478"/>
      <c r="CG624" s="1478"/>
      <c r="CH624" s="1478">
        <f t="shared" si="9"/>
        <v>0</v>
      </c>
      <c r="CI624" s="1478"/>
      <c r="CJ624" s="1478"/>
      <c r="CK624" s="1478"/>
      <c r="CL624" s="1478"/>
      <c r="CM624" s="1478">
        <f t="shared" si="10"/>
        <v>0</v>
      </c>
      <c r="CN624" s="1478"/>
      <c r="CO624" s="1478"/>
      <c r="CP624" s="1478"/>
      <c r="CQ624" s="1478"/>
      <c r="CR624" s="6"/>
      <c r="CS624" s="1496">
        <f t="shared" si="11"/>
        <v>0</v>
      </c>
      <c r="CT624" s="1496"/>
      <c r="CU624" s="1496"/>
      <c r="CV624" s="1496"/>
      <c r="CW624" s="1496"/>
      <c r="CX624" s="1496">
        <f t="shared" si="12"/>
        <v>0</v>
      </c>
      <c r="CY624" s="1496"/>
      <c r="CZ624" s="1496"/>
      <c r="DA624" s="1496"/>
      <c r="DB624" s="1496"/>
      <c r="DC624" s="1496">
        <f t="shared" si="13"/>
        <v>0</v>
      </c>
      <c r="DD624" s="1496"/>
      <c r="DE624" s="1496"/>
      <c r="DF624" s="1496"/>
      <c r="DG624" s="1496"/>
      <c r="DH624" s="1496">
        <f t="shared" si="14"/>
        <v>0</v>
      </c>
      <c r="DI624" s="1496"/>
      <c r="DJ624" s="1496"/>
      <c r="DK624" s="1496"/>
      <c r="DL624" s="1496"/>
      <c r="DM624" s="1496">
        <f t="shared" si="15"/>
        <v>0</v>
      </c>
      <c r="DN624" s="1496"/>
      <c r="DO624" s="1496"/>
      <c r="DP624" s="1496"/>
      <c r="DQ624" s="1496"/>
      <c r="DR624" s="1496">
        <f t="shared" si="16"/>
        <v>0</v>
      </c>
      <c r="DS624" s="1496"/>
      <c r="DT624" s="1496"/>
      <c r="DU624" s="1496"/>
      <c r="DV624" s="1496"/>
      <c r="DX624" s="1473" t="str">
        <f t="shared" si="17"/>
        <v/>
      </c>
      <c r="DY624" s="1474"/>
      <c r="DZ624" s="1474"/>
      <c r="EA624" s="1474"/>
      <c r="EB624" s="1475"/>
      <c r="EC624" s="1473" t="str">
        <f t="shared" si="18"/>
        <v/>
      </c>
      <c r="ED624" s="1474"/>
      <c r="EE624" s="1474"/>
      <c r="EF624" s="1474"/>
      <c r="EG624" s="1475"/>
      <c r="EH624" s="1473" t="str">
        <f t="shared" si="19"/>
        <v/>
      </c>
      <c r="EI624" s="1474"/>
      <c r="EJ624" s="1474"/>
      <c r="EK624" s="1474"/>
      <c r="EL624" s="1475"/>
      <c r="EM624" s="1473" t="str">
        <f t="shared" si="20"/>
        <v/>
      </c>
      <c r="EN624" s="1474"/>
      <c r="EO624" s="1474"/>
      <c r="EP624" s="1474"/>
      <c r="EQ624" s="1475"/>
      <c r="ER624" s="1473" t="str">
        <f t="shared" si="21"/>
        <v/>
      </c>
      <c r="ES624" s="1474"/>
      <c r="ET624" s="1474"/>
      <c r="EU624" s="1474"/>
      <c r="EV624" s="1475"/>
      <c r="EW624" s="1473" t="str">
        <f t="shared" si="22"/>
        <v/>
      </c>
      <c r="EX624" s="1474"/>
      <c r="EY624" s="1474"/>
      <c r="EZ624" s="1474"/>
      <c r="FA624" s="1475"/>
    </row>
    <row r="625" spans="2:157" ht="13.05" customHeight="1">
      <c r="B625" s="1631"/>
      <c r="C625" s="1631"/>
      <c r="D625" s="1631"/>
      <c r="E625" s="1631"/>
      <c r="F625" s="1631"/>
      <c r="G625" s="1631"/>
      <c r="H625" s="1631"/>
      <c r="I625" s="1631"/>
      <c r="J625" s="1631"/>
      <c r="K625" s="1631"/>
      <c r="L625" s="1631"/>
      <c r="M625" s="1462"/>
      <c r="N625" s="1462"/>
      <c r="O625" s="1462"/>
      <c r="P625" s="1462"/>
      <c r="Q625" s="1462"/>
      <c r="R625" s="1462"/>
      <c r="S625" s="1462"/>
      <c r="T625" s="1462"/>
      <c r="U625" s="1462"/>
      <c r="V625" s="1462"/>
      <c r="W625" s="1463"/>
      <c r="X625" s="1463"/>
      <c r="Y625" s="1463"/>
      <c r="Z625" s="1469"/>
      <c r="AA625" s="1469"/>
      <c r="AB625" s="1470"/>
      <c r="AC625" s="1748"/>
      <c r="AD625" s="1749"/>
      <c r="AE625" s="1750"/>
      <c r="AF625" s="1729"/>
      <c r="AG625" s="1469"/>
      <c r="AH625" s="1469"/>
      <c r="AI625" s="1469"/>
      <c r="AJ625" s="1470"/>
      <c r="AK625" s="1452"/>
      <c r="AL625" s="1453"/>
      <c r="AM625" s="1453"/>
      <c r="AN625" s="1454"/>
      <c r="AO625" s="1462"/>
      <c r="AP625" s="1462"/>
      <c r="AQ625" s="1462"/>
      <c r="AR625" s="1462"/>
      <c r="AS625" s="1462"/>
      <c r="AU625" s="3"/>
      <c r="AZ625" s="3"/>
      <c r="BA625" s="3"/>
      <c r="BB625" s="3"/>
      <c r="BC625" s="3"/>
      <c r="BD625" s="3"/>
      <c r="BE625" s="1473">
        <f t="shared" si="1"/>
        <v>0</v>
      </c>
      <c r="BF625" s="1475"/>
      <c r="BG625" s="1671">
        <f t="shared" si="2"/>
        <v>0</v>
      </c>
      <c r="BH625" s="1673"/>
      <c r="BI625" s="1473">
        <f t="shared" si="3"/>
        <v>0</v>
      </c>
      <c r="BJ625" s="1475"/>
      <c r="BK625" s="1671">
        <f t="shared" si="4"/>
        <v>0</v>
      </c>
      <c r="BL625" s="1673"/>
      <c r="BM625" s="3"/>
      <c r="BN625" s="1479">
        <f t="shared" si="5"/>
        <v>0</v>
      </c>
      <c r="BO625" s="1480"/>
      <c r="BP625" s="1480"/>
      <c r="BQ625" s="1480"/>
      <c r="BR625" s="1481"/>
      <c r="BS625" s="1478">
        <f t="shared" si="6"/>
        <v>0</v>
      </c>
      <c r="BT625" s="1478"/>
      <c r="BU625" s="1478"/>
      <c r="BV625" s="1478"/>
      <c r="BW625" s="1478"/>
      <c r="BX625" s="1478">
        <f t="shared" si="7"/>
        <v>0</v>
      </c>
      <c r="BY625" s="1478"/>
      <c r="BZ625" s="1478"/>
      <c r="CA625" s="1478"/>
      <c r="CB625" s="1478"/>
      <c r="CC625" s="1478">
        <f t="shared" si="8"/>
        <v>0</v>
      </c>
      <c r="CD625" s="1478"/>
      <c r="CE625" s="1478"/>
      <c r="CF625" s="1478"/>
      <c r="CG625" s="1478"/>
      <c r="CH625" s="1478">
        <f t="shared" si="9"/>
        <v>0</v>
      </c>
      <c r="CI625" s="1478"/>
      <c r="CJ625" s="1478"/>
      <c r="CK625" s="1478"/>
      <c r="CL625" s="1478"/>
      <c r="CM625" s="1478">
        <f t="shared" si="10"/>
        <v>0</v>
      </c>
      <c r="CN625" s="1478"/>
      <c r="CO625" s="1478"/>
      <c r="CP625" s="1478"/>
      <c r="CQ625" s="1478"/>
      <c r="CR625" s="6"/>
      <c r="CS625" s="1496">
        <f t="shared" si="11"/>
        <v>0</v>
      </c>
      <c r="CT625" s="1496"/>
      <c r="CU625" s="1496"/>
      <c r="CV625" s="1496"/>
      <c r="CW625" s="1496"/>
      <c r="CX625" s="1496">
        <f t="shared" si="12"/>
        <v>0</v>
      </c>
      <c r="CY625" s="1496"/>
      <c r="CZ625" s="1496"/>
      <c r="DA625" s="1496"/>
      <c r="DB625" s="1496"/>
      <c r="DC625" s="1496">
        <f t="shared" si="13"/>
        <v>0</v>
      </c>
      <c r="DD625" s="1496"/>
      <c r="DE625" s="1496"/>
      <c r="DF625" s="1496"/>
      <c r="DG625" s="1496"/>
      <c r="DH625" s="1496">
        <f t="shared" si="14"/>
        <v>0</v>
      </c>
      <c r="DI625" s="1496"/>
      <c r="DJ625" s="1496"/>
      <c r="DK625" s="1496"/>
      <c r="DL625" s="1496"/>
      <c r="DM625" s="1496">
        <f t="shared" si="15"/>
        <v>0</v>
      </c>
      <c r="DN625" s="1496"/>
      <c r="DO625" s="1496"/>
      <c r="DP625" s="1496"/>
      <c r="DQ625" s="1496"/>
      <c r="DR625" s="1496">
        <f t="shared" si="16"/>
        <v>0</v>
      </c>
      <c r="DS625" s="1496"/>
      <c r="DT625" s="1496"/>
      <c r="DU625" s="1496"/>
      <c r="DV625" s="1496"/>
      <c r="DX625" s="1473" t="str">
        <f t="shared" si="17"/>
        <v/>
      </c>
      <c r="DY625" s="1474"/>
      <c r="DZ625" s="1474"/>
      <c r="EA625" s="1474"/>
      <c r="EB625" s="1475"/>
      <c r="EC625" s="1473" t="str">
        <f t="shared" si="18"/>
        <v/>
      </c>
      <c r="ED625" s="1474"/>
      <c r="EE625" s="1474"/>
      <c r="EF625" s="1474"/>
      <c r="EG625" s="1475"/>
      <c r="EH625" s="1473" t="str">
        <f t="shared" si="19"/>
        <v/>
      </c>
      <c r="EI625" s="1474"/>
      <c r="EJ625" s="1474"/>
      <c r="EK625" s="1474"/>
      <c r="EL625" s="1475"/>
      <c r="EM625" s="1473" t="str">
        <f t="shared" si="20"/>
        <v/>
      </c>
      <c r="EN625" s="1474"/>
      <c r="EO625" s="1474"/>
      <c r="EP625" s="1474"/>
      <c r="EQ625" s="1475"/>
      <c r="ER625" s="1473" t="str">
        <f t="shared" si="21"/>
        <v/>
      </c>
      <c r="ES625" s="1474"/>
      <c r="ET625" s="1474"/>
      <c r="EU625" s="1474"/>
      <c r="EV625" s="1475"/>
      <c r="EW625" s="1473" t="str">
        <f t="shared" si="22"/>
        <v/>
      </c>
      <c r="EX625" s="1474"/>
      <c r="EY625" s="1474"/>
      <c r="EZ625" s="1474"/>
      <c r="FA625" s="1475"/>
    </row>
    <row r="626" spans="2:157" ht="13.05" customHeight="1">
      <c r="B626" s="1631"/>
      <c r="C626" s="1631"/>
      <c r="D626" s="1631"/>
      <c r="E626" s="1631"/>
      <c r="F626" s="1631"/>
      <c r="G626" s="1631"/>
      <c r="H626" s="1631"/>
      <c r="I626" s="1631"/>
      <c r="J626" s="1631"/>
      <c r="K626" s="1631"/>
      <c r="L626" s="1631"/>
      <c r="M626" s="1462"/>
      <c r="N626" s="1462"/>
      <c r="O626" s="1462"/>
      <c r="P626" s="1462"/>
      <c r="Q626" s="1462"/>
      <c r="R626" s="1462"/>
      <c r="S626" s="1462"/>
      <c r="T626" s="1462"/>
      <c r="U626" s="1462"/>
      <c r="V626" s="1462"/>
      <c r="W626" s="1463"/>
      <c r="X626" s="1463"/>
      <c r="Y626" s="1463"/>
      <c r="Z626" s="1471"/>
      <c r="AA626" s="1471"/>
      <c r="AB626" s="1472"/>
      <c r="AC626" s="1751"/>
      <c r="AD626" s="1752"/>
      <c r="AE626" s="1753"/>
      <c r="AF626" s="1730"/>
      <c r="AG626" s="1471"/>
      <c r="AH626" s="1471"/>
      <c r="AI626" s="1471"/>
      <c r="AJ626" s="1472"/>
      <c r="AK626" s="1455"/>
      <c r="AL626" s="1456"/>
      <c r="AM626" s="1456"/>
      <c r="AN626" s="1457"/>
      <c r="AO626" s="1462"/>
      <c r="AP626" s="1462"/>
      <c r="AQ626" s="1462"/>
      <c r="AR626" s="1462"/>
      <c r="AS626" s="1462"/>
      <c r="AT626" s="3"/>
      <c r="AU626" s="3"/>
      <c r="AZ626" s="3"/>
      <c r="BA626" s="3"/>
      <c r="BB626" s="3"/>
      <c r="BC626" s="3"/>
      <c r="BD626" s="3"/>
      <c r="BE626" s="1473">
        <f t="shared" si="1"/>
        <v>0</v>
      </c>
      <c r="BF626" s="1475"/>
      <c r="BG626" s="1671">
        <f t="shared" si="2"/>
        <v>0</v>
      </c>
      <c r="BH626" s="1673"/>
      <c r="BI626" s="1473">
        <f t="shared" si="3"/>
        <v>0</v>
      </c>
      <c r="BJ626" s="1475"/>
      <c r="BK626" s="1671">
        <f t="shared" si="4"/>
        <v>0</v>
      </c>
      <c r="BL626" s="1673"/>
      <c r="BM626" s="3"/>
      <c r="BN626" s="1479">
        <f t="shared" si="5"/>
        <v>0</v>
      </c>
      <c r="BO626" s="1480"/>
      <c r="BP626" s="1480"/>
      <c r="BQ626" s="1480"/>
      <c r="BR626" s="1481"/>
      <c r="BS626" s="1478">
        <f t="shared" si="6"/>
        <v>0</v>
      </c>
      <c r="BT626" s="1478"/>
      <c r="BU626" s="1478"/>
      <c r="BV626" s="1478"/>
      <c r="BW626" s="1478"/>
      <c r="BX626" s="1478">
        <f t="shared" si="7"/>
        <v>0</v>
      </c>
      <c r="BY626" s="1478"/>
      <c r="BZ626" s="1478"/>
      <c r="CA626" s="1478"/>
      <c r="CB626" s="1478"/>
      <c r="CC626" s="1478">
        <f t="shared" si="8"/>
        <v>0</v>
      </c>
      <c r="CD626" s="1478"/>
      <c r="CE626" s="1478"/>
      <c r="CF626" s="1478"/>
      <c r="CG626" s="1478"/>
      <c r="CH626" s="1478">
        <f t="shared" si="9"/>
        <v>0</v>
      </c>
      <c r="CI626" s="1478"/>
      <c r="CJ626" s="1478"/>
      <c r="CK626" s="1478"/>
      <c r="CL626" s="1478"/>
      <c r="CM626" s="1478">
        <f t="shared" si="10"/>
        <v>0</v>
      </c>
      <c r="CN626" s="1478"/>
      <c r="CO626" s="1478"/>
      <c r="CP626" s="1478"/>
      <c r="CQ626" s="1478"/>
      <c r="CR626" s="6"/>
      <c r="CS626" s="1496">
        <f t="shared" si="11"/>
        <v>0</v>
      </c>
      <c r="CT626" s="1496"/>
      <c r="CU626" s="1496"/>
      <c r="CV626" s="1496"/>
      <c r="CW626" s="1496"/>
      <c r="CX626" s="1496">
        <f t="shared" si="12"/>
        <v>0</v>
      </c>
      <c r="CY626" s="1496"/>
      <c r="CZ626" s="1496"/>
      <c r="DA626" s="1496"/>
      <c r="DB626" s="1496"/>
      <c r="DC626" s="1496">
        <f t="shared" si="13"/>
        <v>0</v>
      </c>
      <c r="DD626" s="1496"/>
      <c r="DE626" s="1496"/>
      <c r="DF626" s="1496"/>
      <c r="DG626" s="1496"/>
      <c r="DH626" s="1496">
        <f t="shared" si="14"/>
        <v>0</v>
      </c>
      <c r="DI626" s="1496"/>
      <c r="DJ626" s="1496"/>
      <c r="DK626" s="1496"/>
      <c r="DL626" s="1496"/>
      <c r="DM626" s="1496">
        <f t="shared" si="15"/>
        <v>0</v>
      </c>
      <c r="DN626" s="1496"/>
      <c r="DO626" s="1496"/>
      <c r="DP626" s="1496"/>
      <c r="DQ626" s="1496"/>
      <c r="DR626" s="1496">
        <f t="shared" si="16"/>
        <v>0</v>
      </c>
      <c r="DS626" s="1496"/>
      <c r="DT626" s="1496"/>
      <c r="DU626" s="1496"/>
      <c r="DV626" s="1496"/>
      <c r="DX626" s="1473" t="str">
        <f t="shared" si="17"/>
        <v/>
      </c>
      <c r="DY626" s="1474"/>
      <c r="DZ626" s="1474"/>
      <c r="EA626" s="1474"/>
      <c r="EB626" s="1475"/>
      <c r="EC626" s="1473" t="str">
        <f t="shared" si="18"/>
        <v/>
      </c>
      <c r="ED626" s="1474"/>
      <c r="EE626" s="1474"/>
      <c r="EF626" s="1474"/>
      <c r="EG626" s="1475"/>
      <c r="EH626" s="1473" t="str">
        <f t="shared" si="19"/>
        <v/>
      </c>
      <c r="EI626" s="1474"/>
      <c r="EJ626" s="1474"/>
      <c r="EK626" s="1474"/>
      <c r="EL626" s="1475"/>
      <c r="EM626" s="1473" t="str">
        <f t="shared" si="20"/>
        <v/>
      </c>
      <c r="EN626" s="1474"/>
      <c r="EO626" s="1474"/>
      <c r="EP626" s="1474"/>
      <c r="EQ626" s="1475"/>
      <c r="ER626" s="1473" t="str">
        <f t="shared" si="21"/>
        <v/>
      </c>
      <c r="ES626" s="1474"/>
      <c r="ET626" s="1474"/>
      <c r="EU626" s="1474"/>
      <c r="EV626" s="1475"/>
      <c r="EW626" s="1473" t="str">
        <f t="shared" si="22"/>
        <v/>
      </c>
      <c r="EX626" s="1474"/>
      <c r="EY626" s="1474"/>
      <c r="EZ626" s="1474"/>
      <c r="FA626" s="1475"/>
    </row>
    <row r="627" spans="2:157" ht="13.05" customHeight="1">
      <c r="B627" s="51" t="s">
        <v>112</v>
      </c>
      <c r="C627" s="1623" t="s">
        <v>2706</v>
      </c>
      <c r="D627" s="1623"/>
      <c r="E627" s="1623"/>
      <c r="F627" s="1623"/>
      <c r="G627" s="1623"/>
      <c r="H627" s="1623"/>
      <c r="I627" s="1623"/>
      <c r="J627" s="1623"/>
      <c r="K627" s="1623"/>
      <c r="L627" s="1623"/>
      <c r="M627" s="1421" t="s">
        <v>2427</v>
      </c>
      <c r="N627" s="1421"/>
      <c r="O627" s="1421"/>
      <c r="P627" s="1421"/>
      <c r="Q627" s="1435">
        <f>17*12</f>
        <v>204</v>
      </c>
      <c r="R627" s="1435"/>
      <c r="S627" s="1436"/>
      <c r="T627" s="1437">
        <f>40*12</f>
        <v>480</v>
      </c>
      <c r="U627" s="1435"/>
      <c r="V627" s="1436"/>
      <c r="W627" s="1412">
        <v>0.06</v>
      </c>
      <c r="X627" s="1413"/>
      <c r="Y627" s="1414"/>
      <c r="Z627" s="1464" t="s">
        <v>2445</v>
      </c>
      <c r="AA627" s="1465"/>
      <c r="AB627" s="1466"/>
      <c r="AC627" s="1418">
        <v>1</v>
      </c>
      <c r="AD627" s="1419"/>
      <c r="AE627" s="1420"/>
      <c r="AF627" s="1422">
        <v>2299980</v>
      </c>
      <c r="AG627" s="1423"/>
      <c r="AH627" s="1423"/>
      <c r="AI627" s="1423"/>
      <c r="AJ627" s="1424"/>
      <c r="AK627" s="1438"/>
      <c r="AL627" s="1439"/>
      <c r="AM627" s="1439"/>
      <c r="AN627" s="1440"/>
      <c r="AO627" s="1501">
        <v>34834654</v>
      </c>
      <c r="AP627" s="1501"/>
      <c r="AQ627" s="1501"/>
      <c r="AR627" s="1501"/>
      <c r="AS627" s="1501"/>
      <c r="AT627" s="3"/>
      <c r="AU627" s="3"/>
      <c r="AZ627" s="3"/>
      <c r="BA627" s="3"/>
      <c r="BB627" s="3"/>
      <c r="BC627" s="3"/>
      <c r="BD627" s="3"/>
      <c r="BE627" s="1473">
        <f t="shared" si="1"/>
        <v>0</v>
      </c>
      <c r="BF627" s="1475"/>
      <c r="BG627" s="1671">
        <f t="shared" si="2"/>
        <v>0</v>
      </c>
      <c r="BH627" s="1673"/>
      <c r="BI627" s="1473">
        <f t="shared" si="3"/>
        <v>0</v>
      </c>
      <c r="BJ627" s="1475"/>
      <c r="BK627" s="1671">
        <f t="shared" si="4"/>
        <v>0</v>
      </c>
      <c r="BL627" s="1673"/>
      <c r="BM627" s="3"/>
      <c r="BN627" s="1479">
        <f t="shared" si="5"/>
        <v>0</v>
      </c>
      <c r="BO627" s="1480"/>
      <c r="BP627" s="1480"/>
      <c r="BQ627" s="1480"/>
      <c r="BR627" s="1481"/>
      <c r="BS627" s="1478">
        <f t="shared" si="6"/>
        <v>0</v>
      </c>
      <c r="BT627" s="1478"/>
      <c r="BU627" s="1478"/>
      <c r="BV627" s="1478"/>
      <c r="BW627" s="1478"/>
      <c r="BX627" s="1478">
        <f t="shared" si="7"/>
        <v>0</v>
      </c>
      <c r="BY627" s="1478"/>
      <c r="BZ627" s="1478"/>
      <c r="CA627" s="1478"/>
      <c r="CB627" s="1478"/>
      <c r="CC627" s="1478">
        <f t="shared" si="8"/>
        <v>0</v>
      </c>
      <c r="CD627" s="1478"/>
      <c r="CE627" s="1478"/>
      <c r="CF627" s="1478"/>
      <c r="CG627" s="1478"/>
      <c r="CH627" s="1478">
        <f t="shared" si="9"/>
        <v>0</v>
      </c>
      <c r="CI627" s="1478"/>
      <c r="CJ627" s="1478"/>
      <c r="CK627" s="1478"/>
      <c r="CL627" s="1478"/>
      <c r="CM627" s="1478">
        <f t="shared" si="10"/>
        <v>0</v>
      </c>
      <c r="CN627" s="1478"/>
      <c r="CO627" s="1478"/>
      <c r="CP627" s="1478"/>
      <c r="CQ627" s="1478"/>
      <c r="CR627" s="6"/>
      <c r="CS627" s="1496">
        <f t="shared" si="11"/>
        <v>0</v>
      </c>
      <c r="CT627" s="1496"/>
      <c r="CU627" s="1496"/>
      <c r="CV627" s="1496"/>
      <c r="CW627" s="1496"/>
      <c r="CX627" s="1496">
        <f t="shared" si="12"/>
        <v>0</v>
      </c>
      <c r="CY627" s="1496"/>
      <c r="CZ627" s="1496"/>
      <c r="DA627" s="1496"/>
      <c r="DB627" s="1496"/>
      <c r="DC627" s="1496">
        <f t="shared" si="13"/>
        <v>0</v>
      </c>
      <c r="DD627" s="1496"/>
      <c r="DE627" s="1496"/>
      <c r="DF627" s="1496"/>
      <c r="DG627" s="1496"/>
      <c r="DH627" s="1496">
        <f t="shared" si="14"/>
        <v>0</v>
      </c>
      <c r="DI627" s="1496"/>
      <c r="DJ627" s="1496"/>
      <c r="DK627" s="1496"/>
      <c r="DL627" s="1496"/>
      <c r="DM627" s="1496">
        <f t="shared" si="15"/>
        <v>0</v>
      </c>
      <c r="DN627" s="1496"/>
      <c r="DO627" s="1496"/>
      <c r="DP627" s="1496"/>
      <c r="DQ627" s="1496"/>
      <c r="DR627" s="1496">
        <f t="shared" si="16"/>
        <v>0</v>
      </c>
      <c r="DS627" s="1496"/>
      <c r="DT627" s="1496"/>
      <c r="DU627" s="1496"/>
      <c r="DV627" s="1496"/>
      <c r="DX627" s="1473" t="str">
        <f t="shared" si="17"/>
        <v/>
      </c>
      <c r="DY627" s="1474"/>
      <c r="DZ627" s="1474"/>
      <c r="EA627" s="1474"/>
      <c r="EB627" s="1475"/>
      <c r="EC627" s="1473" t="str">
        <f t="shared" si="18"/>
        <v/>
      </c>
      <c r="ED627" s="1474"/>
      <c r="EE627" s="1474"/>
      <c r="EF627" s="1474"/>
      <c r="EG627" s="1475"/>
      <c r="EH627" s="1473" t="str">
        <f t="shared" si="19"/>
        <v/>
      </c>
      <c r="EI627" s="1474"/>
      <c r="EJ627" s="1474"/>
      <c r="EK627" s="1474"/>
      <c r="EL627" s="1475"/>
      <c r="EM627" s="1473" t="str">
        <f t="shared" si="20"/>
        <v/>
      </c>
      <c r="EN627" s="1474"/>
      <c r="EO627" s="1474"/>
      <c r="EP627" s="1474"/>
      <c r="EQ627" s="1475"/>
      <c r="ER627" s="1473" t="str">
        <f t="shared" si="21"/>
        <v/>
      </c>
      <c r="ES627" s="1474"/>
      <c r="ET627" s="1474"/>
      <c r="EU627" s="1474"/>
      <c r="EV627" s="1475"/>
      <c r="EW627" s="1473" t="str">
        <f t="shared" si="22"/>
        <v/>
      </c>
      <c r="EX627" s="1474"/>
      <c r="EY627" s="1474"/>
      <c r="EZ627" s="1474"/>
      <c r="FA627" s="1475"/>
    </row>
    <row r="628" spans="2:157" ht="13.05" customHeight="1">
      <c r="B628" s="52" t="s">
        <v>113</v>
      </c>
      <c r="C628" s="1623" t="s">
        <v>1848</v>
      </c>
      <c r="D628" s="1623"/>
      <c r="E628" s="1623"/>
      <c r="F628" s="1623"/>
      <c r="G628" s="1623"/>
      <c r="H628" s="1623"/>
      <c r="I628" s="1623"/>
      <c r="J628" s="1623"/>
      <c r="K628" s="1623"/>
      <c r="L628" s="1623"/>
      <c r="M628" s="1421" t="s">
        <v>2436</v>
      </c>
      <c r="N628" s="1421"/>
      <c r="O628" s="1421"/>
      <c r="P628" s="1421"/>
      <c r="Q628" s="1437"/>
      <c r="R628" s="1435"/>
      <c r="S628" s="1436"/>
      <c r="T628" s="1437"/>
      <c r="U628" s="1435"/>
      <c r="V628" s="1436"/>
      <c r="W628" s="1412"/>
      <c r="X628" s="1413"/>
      <c r="Y628" s="1414"/>
      <c r="Z628" s="1464" t="s">
        <v>466</v>
      </c>
      <c r="AA628" s="1465"/>
      <c r="AB628" s="1466"/>
      <c r="AC628" s="1418"/>
      <c r="AD628" s="1419"/>
      <c r="AE628" s="1420"/>
      <c r="AF628" s="1422"/>
      <c r="AG628" s="1423"/>
      <c r="AH628" s="1423"/>
      <c r="AI628" s="1423"/>
      <c r="AJ628" s="1424"/>
      <c r="AK628" s="1438"/>
      <c r="AL628" s="1439"/>
      <c r="AM628" s="1439"/>
      <c r="AN628" s="1440"/>
      <c r="AO628" s="1498">
        <v>5849125</v>
      </c>
      <c r="AP628" s="1499"/>
      <c r="AQ628" s="1499"/>
      <c r="AR628" s="1499"/>
      <c r="AS628" s="1500"/>
      <c r="AT628" s="1192" t="str">
        <f>IF(AND(NOT(C627=""),C628="",NOT(C629="")),"!","")</f>
        <v/>
      </c>
      <c r="AU628" s="3"/>
      <c r="AZ628" s="3"/>
      <c r="BA628" s="3"/>
      <c r="BB628" s="3"/>
      <c r="BC628" s="3"/>
      <c r="BD628" s="3"/>
      <c r="BE628" s="1473">
        <f t="shared" si="1"/>
        <v>0</v>
      </c>
      <c r="BF628" s="1475"/>
      <c r="BG628" s="1671">
        <f t="shared" si="2"/>
        <v>0</v>
      </c>
      <c r="BH628" s="1673"/>
      <c r="BI628" s="1473">
        <f t="shared" si="3"/>
        <v>0</v>
      </c>
      <c r="BJ628" s="1475"/>
      <c r="BK628" s="1671">
        <f t="shared" si="4"/>
        <v>0</v>
      </c>
      <c r="BL628" s="1673"/>
      <c r="BM628" s="3"/>
      <c r="BN628" s="1479">
        <f t="shared" si="5"/>
        <v>0</v>
      </c>
      <c r="BO628" s="1480"/>
      <c r="BP628" s="1480"/>
      <c r="BQ628" s="1480"/>
      <c r="BR628" s="1481"/>
      <c r="BS628" s="1478">
        <f t="shared" si="6"/>
        <v>0</v>
      </c>
      <c r="BT628" s="1478"/>
      <c r="BU628" s="1478"/>
      <c r="BV628" s="1478"/>
      <c r="BW628" s="1478"/>
      <c r="BX628" s="1478">
        <f t="shared" si="7"/>
        <v>0</v>
      </c>
      <c r="BY628" s="1478"/>
      <c r="BZ628" s="1478"/>
      <c r="CA628" s="1478"/>
      <c r="CB628" s="1478"/>
      <c r="CC628" s="1478">
        <f t="shared" si="8"/>
        <v>0</v>
      </c>
      <c r="CD628" s="1478"/>
      <c r="CE628" s="1478"/>
      <c r="CF628" s="1478"/>
      <c r="CG628" s="1478"/>
      <c r="CH628" s="1478">
        <f t="shared" si="9"/>
        <v>0</v>
      </c>
      <c r="CI628" s="1478"/>
      <c r="CJ628" s="1478"/>
      <c r="CK628" s="1478"/>
      <c r="CL628" s="1478"/>
      <c r="CM628" s="1478">
        <f t="shared" si="10"/>
        <v>0</v>
      </c>
      <c r="CN628" s="1478"/>
      <c r="CO628" s="1478"/>
      <c r="CP628" s="1478"/>
      <c r="CQ628" s="1478"/>
      <c r="CR628" s="6"/>
      <c r="CS628" s="1496">
        <f t="shared" si="11"/>
        <v>0</v>
      </c>
      <c r="CT628" s="1496"/>
      <c r="CU628" s="1496"/>
      <c r="CV628" s="1496"/>
      <c r="CW628" s="1496"/>
      <c r="CX628" s="1496">
        <f t="shared" si="12"/>
        <v>0</v>
      </c>
      <c r="CY628" s="1496"/>
      <c r="CZ628" s="1496"/>
      <c r="DA628" s="1496"/>
      <c r="DB628" s="1496"/>
      <c r="DC628" s="1496">
        <f t="shared" si="13"/>
        <v>0</v>
      </c>
      <c r="DD628" s="1496"/>
      <c r="DE628" s="1496"/>
      <c r="DF628" s="1496"/>
      <c r="DG628" s="1496"/>
      <c r="DH628" s="1496">
        <f t="shared" si="14"/>
        <v>0</v>
      </c>
      <c r="DI628" s="1496"/>
      <c r="DJ628" s="1496"/>
      <c r="DK628" s="1496"/>
      <c r="DL628" s="1496"/>
      <c r="DM628" s="1496">
        <f t="shared" si="15"/>
        <v>0</v>
      </c>
      <c r="DN628" s="1496"/>
      <c r="DO628" s="1496"/>
      <c r="DP628" s="1496"/>
      <c r="DQ628" s="1496"/>
      <c r="DR628" s="1496">
        <f t="shared" si="16"/>
        <v>0</v>
      </c>
      <c r="DS628" s="1496"/>
      <c r="DT628" s="1496"/>
      <c r="DU628" s="1496"/>
      <c r="DV628" s="1496"/>
      <c r="DX628" s="1473" t="str">
        <f t="shared" si="17"/>
        <v/>
      </c>
      <c r="DY628" s="1474"/>
      <c r="DZ628" s="1474"/>
      <c r="EA628" s="1474"/>
      <c r="EB628" s="1475"/>
      <c r="EC628" s="1473" t="str">
        <f t="shared" si="18"/>
        <v/>
      </c>
      <c r="ED628" s="1474"/>
      <c r="EE628" s="1474"/>
      <c r="EF628" s="1474"/>
      <c r="EG628" s="1475"/>
      <c r="EH628" s="1473" t="str">
        <f t="shared" si="19"/>
        <v/>
      </c>
      <c r="EI628" s="1474"/>
      <c r="EJ628" s="1474"/>
      <c r="EK628" s="1474"/>
      <c r="EL628" s="1475"/>
      <c r="EM628" s="1473" t="str">
        <f t="shared" si="20"/>
        <v/>
      </c>
      <c r="EN628" s="1474"/>
      <c r="EO628" s="1474"/>
      <c r="EP628" s="1474"/>
      <c r="EQ628" s="1475"/>
      <c r="ER628" s="1473" t="str">
        <f t="shared" si="21"/>
        <v/>
      </c>
      <c r="ES628" s="1474"/>
      <c r="ET628" s="1474"/>
      <c r="EU628" s="1474"/>
      <c r="EV628" s="1475"/>
      <c r="EW628" s="1473" t="str">
        <f t="shared" si="22"/>
        <v/>
      </c>
      <c r="EX628" s="1474"/>
      <c r="EY628" s="1474"/>
      <c r="EZ628" s="1474"/>
      <c r="FA628" s="1475"/>
    </row>
    <row r="629" spans="2:157" ht="13.05" customHeight="1">
      <c r="B629" s="52" t="s">
        <v>119</v>
      </c>
      <c r="C629" s="1623"/>
      <c r="D629" s="1623"/>
      <c r="E629" s="1623"/>
      <c r="F629" s="1623"/>
      <c r="G629" s="1623"/>
      <c r="H629" s="1623"/>
      <c r="I629" s="1623"/>
      <c r="J629" s="1623"/>
      <c r="K629" s="1623"/>
      <c r="L629" s="1623"/>
      <c r="M629" s="1421" t="s">
        <v>1289</v>
      </c>
      <c r="N629" s="1421"/>
      <c r="O629" s="1421"/>
      <c r="P629" s="1421"/>
      <c r="Q629" s="1437"/>
      <c r="R629" s="1435"/>
      <c r="S629" s="1436"/>
      <c r="T629" s="1437"/>
      <c r="U629" s="1435"/>
      <c r="V629" s="1436"/>
      <c r="W629" s="1412"/>
      <c r="X629" s="1413"/>
      <c r="Y629" s="1414"/>
      <c r="Z629" s="1464" t="s">
        <v>1289</v>
      </c>
      <c r="AA629" s="1465"/>
      <c r="AB629" s="1466"/>
      <c r="AC629" s="1418"/>
      <c r="AD629" s="1419"/>
      <c r="AE629" s="1420"/>
      <c r="AF629" s="1422"/>
      <c r="AG629" s="1423"/>
      <c r="AH629" s="1423"/>
      <c r="AI629" s="1423"/>
      <c r="AJ629" s="1424"/>
      <c r="AK629" s="1438"/>
      <c r="AL629" s="1439"/>
      <c r="AM629" s="1439"/>
      <c r="AN629" s="1440"/>
      <c r="AO629" s="1498"/>
      <c r="AP629" s="1499"/>
      <c r="AQ629" s="1499"/>
      <c r="AR629" s="1499"/>
      <c r="AS629" s="1500"/>
      <c r="AT629" s="1192" t="str">
        <f t="shared" ref="AT629:AT638" si="23">IF(AND(NOT(C628=""),C629="",NOT(C630="")),"!","")</f>
        <v/>
      </c>
      <c r="AU629" s="3"/>
      <c r="AZ629" s="3"/>
      <c r="BA629" s="3"/>
      <c r="BB629" s="3"/>
      <c r="BC629" s="3"/>
      <c r="BD629" s="3"/>
      <c r="BE629" s="1473">
        <f t="shared" si="1"/>
        <v>0</v>
      </c>
      <c r="BF629" s="1475"/>
      <c r="BG629" s="1671">
        <f t="shared" si="2"/>
        <v>0</v>
      </c>
      <c r="BH629" s="1673"/>
      <c r="BI629" s="1473">
        <f t="shared" si="3"/>
        <v>0</v>
      </c>
      <c r="BJ629" s="1475"/>
      <c r="BK629" s="1671">
        <f t="shared" si="4"/>
        <v>0</v>
      </c>
      <c r="BL629" s="1673"/>
      <c r="BM629" s="3"/>
      <c r="BN629" s="1479">
        <f t="shared" si="5"/>
        <v>0</v>
      </c>
      <c r="BO629" s="1480"/>
      <c r="BP629" s="1480"/>
      <c r="BQ629" s="1480"/>
      <c r="BR629" s="1481"/>
      <c r="BS629" s="1478">
        <f t="shared" si="6"/>
        <v>0</v>
      </c>
      <c r="BT629" s="1478"/>
      <c r="BU629" s="1478"/>
      <c r="BV629" s="1478"/>
      <c r="BW629" s="1478"/>
      <c r="BX629" s="1478">
        <f t="shared" si="7"/>
        <v>0</v>
      </c>
      <c r="BY629" s="1478"/>
      <c r="BZ629" s="1478"/>
      <c r="CA629" s="1478"/>
      <c r="CB629" s="1478"/>
      <c r="CC629" s="1478">
        <f t="shared" si="8"/>
        <v>0</v>
      </c>
      <c r="CD629" s="1478"/>
      <c r="CE629" s="1478"/>
      <c r="CF629" s="1478"/>
      <c r="CG629" s="1478"/>
      <c r="CH629" s="1478">
        <f t="shared" si="9"/>
        <v>0</v>
      </c>
      <c r="CI629" s="1478"/>
      <c r="CJ629" s="1478"/>
      <c r="CK629" s="1478"/>
      <c r="CL629" s="1478"/>
      <c r="CM629" s="1478">
        <f t="shared" si="10"/>
        <v>0</v>
      </c>
      <c r="CN629" s="1478"/>
      <c r="CO629" s="1478"/>
      <c r="CP629" s="1478"/>
      <c r="CQ629" s="1478"/>
      <c r="CR629" s="6"/>
      <c r="CS629" s="1496">
        <f t="shared" si="11"/>
        <v>0</v>
      </c>
      <c r="CT629" s="1496"/>
      <c r="CU629" s="1496"/>
      <c r="CV629" s="1496"/>
      <c r="CW629" s="1496"/>
      <c r="CX629" s="1496">
        <f t="shared" si="12"/>
        <v>0</v>
      </c>
      <c r="CY629" s="1496"/>
      <c r="CZ629" s="1496"/>
      <c r="DA629" s="1496"/>
      <c r="DB629" s="1496"/>
      <c r="DC629" s="1496">
        <f t="shared" si="13"/>
        <v>0</v>
      </c>
      <c r="DD629" s="1496"/>
      <c r="DE629" s="1496"/>
      <c r="DF629" s="1496"/>
      <c r="DG629" s="1496"/>
      <c r="DH629" s="1496">
        <f t="shared" si="14"/>
        <v>0</v>
      </c>
      <c r="DI629" s="1496"/>
      <c r="DJ629" s="1496"/>
      <c r="DK629" s="1496"/>
      <c r="DL629" s="1496"/>
      <c r="DM629" s="1496">
        <f t="shared" si="15"/>
        <v>0</v>
      </c>
      <c r="DN629" s="1496"/>
      <c r="DO629" s="1496"/>
      <c r="DP629" s="1496"/>
      <c r="DQ629" s="1496"/>
      <c r="DR629" s="1496">
        <f t="shared" si="16"/>
        <v>0</v>
      </c>
      <c r="DS629" s="1496"/>
      <c r="DT629" s="1496"/>
      <c r="DU629" s="1496"/>
      <c r="DV629" s="1496"/>
      <c r="DX629" s="1473" t="str">
        <f t="shared" si="17"/>
        <v/>
      </c>
      <c r="DY629" s="1474"/>
      <c r="DZ629" s="1474"/>
      <c r="EA629" s="1474"/>
      <c r="EB629" s="1475"/>
      <c r="EC629" s="1473" t="str">
        <f t="shared" si="18"/>
        <v/>
      </c>
      <c r="ED629" s="1474"/>
      <c r="EE629" s="1474"/>
      <c r="EF629" s="1474"/>
      <c r="EG629" s="1475"/>
      <c r="EH629" s="1473" t="str">
        <f t="shared" si="19"/>
        <v/>
      </c>
      <c r="EI629" s="1474"/>
      <c r="EJ629" s="1474"/>
      <c r="EK629" s="1474"/>
      <c r="EL629" s="1475"/>
      <c r="EM629" s="1473" t="str">
        <f t="shared" si="20"/>
        <v/>
      </c>
      <c r="EN629" s="1474"/>
      <c r="EO629" s="1474"/>
      <c r="EP629" s="1474"/>
      <c r="EQ629" s="1475"/>
      <c r="ER629" s="1473" t="str">
        <f t="shared" si="21"/>
        <v/>
      </c>
      <c r="ES629" s="1474"/>
      <c r="ET629" s="1474"/>
      <c r="EU629" s="1474"/>
      <c r="EV629" s="1475"/>
      <c r="EW629" s="1473" t="str">
        <f t="shared" si="22"/>
        <v/>
      </c>
      <c r="EX629" s="1474"/>
      <c r="EY629" s="1474"/>
      <c r="EZ629" s="1474"/>
      <c r="FA629" s="1475"/>
    </row>
    <row r="630" spans="2:157" ht="13.05" customHeight="1">
      <c r="B630" s="52" t="s">
        <v>589</v>
      </c>
      <c r="C630" s="1461"/>
      <c r="D630" s="1461"/>
      <c r="E630" s="1461"/>
      <c r="F630" s="1461"/>
      <c r="G630" s="1461"/>
      <c r="H630" s="1461"/>
      <c r="I630" s="1461"/>
      <c r="J630" s="1461"/>
      <c r="K630" s="1461"/>
      <c r="L630" s="1461"/>
      <c r="M630" s="1421" t="s">
        <v>1289</v>
      </c>
      <c r="N630" s="1421"/>
      <c r="O630" s="1421"/>
      <c r="P630" s="1421"/>
      <c r="Q630" s="1437"/>
      <c r="R630" s="1435"/>
      <c r="S630" s="1436"/>
      <c r="T630" s="1437"/>
      <c r="U630" s="1435"/>
      <c r="V630" s="1436"/>
      <c r="W630" s="1412"/>
      <c r="X630" s="1413"/>
      <c r="Y630" s="1414"/>
      <c r="Z630" s="1464" t="s">
        <v>1289</v>
      </c>
      <c r="AA630" s="1465"/>
      <c r="AB630" s="1466"/>
      <c r="AC630" s="1418"/>
      <c r="AD630" s="1419"/>
      <c r="AE630" s="1420"/>
      <c r="AF630" s="1422"/>
      <c r="AG630" s="1423"/>
      <c r="AH630" s="1423"/>
      <c r="AI630" s="1423"/>
      <c r="AJ630" s="1424"/>
      <c r="AK630" s="1438"/>
      <c r="AL630" s="1439"/>
      <c r="AM630" s="1439"/>
      <c r="AN630" s="1440"/>
      <c r="AO630" s="1498"/>
      <c r="AP630" s="1499"/>
      <c r="AQ630" s="1499"/>
      <c r="AR630" s="1499"/>
      <c r="AS630" s="1500"/>
      <c r="AT630" s="1192" t="str">
        <f t="shared" si="23"/>
        <v/>
      </c>
      <c r="AU630" s="3"/>
      <c r="AZ630" s="3"/>
      <c r="BA630" s="3"/>
      <c r="BB630" s="3"/>
      <c r="BC630" s="3"/>
      <c r="BD630" s="3"/>
      <c r="BE630" s="1473">
        <f t="shared" si="1"/>
        <v>0</v>
      </c>
      <c r="BF630" s="1475"/>
      <c r="BG630" s="1671">
        <f t="shared" si="2"/>
        <v>0</v>
      </c>
      <c r="BH630" s="1673"/>
      <c r="BI630" s="1473">
        <f t="shared" si="3"/>
        <v>0</v>
      </c>
      <c r="BJ630" s="1475"/>
      <c r="BK630" s="1671">
        <f t="shared" si="4"/>
        <v>0</v>
      </c>
      <c r="BL630" s="1673"/>
      <c r="BM630" s="3"/>
      <c r="BN630" s="1479">
        <f t="shared" si="5"/>
        <v>0</v>
      </c>
      <c r="BO630" s="1480"/>
      <c r="BP630" s="1480"/>
      <c r="BQ630" s="1480"/>
      <c r="BR630" s="1481"/>
      <c r="BS630" s="1478">
        <f t="shared" si="6"/>
        <v>0</v>
      </c>
      <c r="BT630" s="1478"/>
      <c r="BU630" s="1478"/>
      <c r="BV630" s="1478"/>
      <c r="BW630" s="1478"/>
      <c r="BX630" s="1478">
        <f t="shared" si="7"/>
        <v>0</v>
      </c>
      <c r="BY630" s="1478"/>
      <c r="BZ630" s="1478"/>
      <c r="CA630" s="1478"/>
      <c r="CB630" s="1478"/>
      <c r="CC630" s="1478">
        <f t="shared" si="8"/>
        <v>0</v>
      </c>
      <c r="CD630" s="1478"/>
      <c r="CE630" s="1478"/>
      <c r="CF630" s="1478"/>
      <c r="CG630" s="1478"/>
      <c r="CH630" s="1478">
        <f t="shared" si="9"/>
        <v>0</v>
      </c>
      <c r="CI630" s="1478"/>
      <c r="CJ630" s="1478"/>
      <c r="CK630" s="1478"/>
      <c r="CL630" s="1478"/>
      <c r="CM630" s="1478">
        <f t="shared" si="10"/>
        <v>0</v>
      </c>
      <c r="CN630" s="1478"/>
      <c r="CO630" s="1478"/>
      <c r="CP630" s="1478"/>
      <c r="CQ630" s="1478"/>
      <c r="CR630" s="6"/>
      <c r="CS630" s="1496">
        <f t="shared" si="11"/>
        <v>0</v>
      </c>
      <c r="CT630" s="1496"/>
      <c r="CU630" s="1496"/>
      <c r="CV630" s="1496"/>
      <c r="CW630" s="1496"/>
      <c r="CX630" s="1496">
        <f t="shared" si="12"/>
        <v>0</v>
      </c>
      <c r="CY630" s="1496"/>
      <c r="CZ630" s="1496"/>
      <c r="DA630" s="1496"/>
      <c r="DB630" s="1496"/>
      <c r="DC630" s="1496">
        <f t="shared" si="13"/>
        <v>0</v>
      </c>
      <c r="DD630" s="1496"/>
      <c r="DE630" s="1496"/>
      <c r="DF630" s="1496"/>
      <c r="DG630" s="1496"/>
      <c r="DH630" s="1496">
        <f t="shared" si="14"/>
        <v>0</v>
      </c>
      <c r="DI630" s="1496"/>
      <c r="DJ630" s="1496"/>
      <c r="DK630" s="1496"/>
      <c r="DL630" s="1496"/>
      <c r="DM630" s="1496">
        <f t="shared" si="15"/>
        <v>0</v>
      </c>
      <c r="DN630" s="1496"/>
      <c r="DO630" s="1496"/>
      <c r="DP630" s="1496"/>
      <c r="DQ630" s="1496"/>
      <c r="DR630" s="1496">
        <f t="shared" si="16"/>
        <v>0</v>
      </c>
      <c r="DS630" s="1496"/>
      <c r="DT630" s="1496"/>
      <c r="DU630" s="1496"/>
      <c r="DV630" s="1496"/>
      <c r="DX630" s="1473" t="str">
        <f t="shared" si="17"/>
        <v/>
      </c>
      <c r="DY630" s="1474"/>
      <c r="DZ630" s="1474"/>
      <c r="EA630" s="1474"/>
      <c r="EB630" s="1475"/>
      <c r="EC630" s="1473" t="str">
        <f t="shared" si="18"/>
        <v/>
      </c>
      <c r="ED630" s="1474"/>
      <c r="EE630" s="1474"/>
      <c r="EF630" s="1474"/>
      <c r="EG630" s="1475"/>
      <c r="EH630" s="1473" t="str">
        <f t="shared" si="19"/>
        <v/>
      </c>
      <c r="EI630" s="1474"/>
      <c r="EJ630" s="1474"/>
      <c r="EK630" s="1474"/>
      <c r="EL630" s="1475"/>
      <c r="EM630" s="1473" t="str">
        <f t="shared" si="20"/>
        <v/>
      </c>
      <c r="EN630" s="1474"/>
      <c r="EO630" s="1474"/>
      <c r="EP630" s="1474"/>
      <c r="EQ630" s="1475"/>
      <c r="ER630" s="1473" t="str">
        <f t="shared" si="21"/>
        <v/>
      </c>
      <c r="ES630" s="1474"/>
      <c r="ET630" s="1474"/>
      <c r="EU630" s="1474"/>
      <c r="EV630" s="1475"/>
      <c r="EW630" s="1473" t="str">
        <f t="shared" si="22"/>
        <v/>
      </c>
      <c r="EX630" s="1474"/>
      <c r="EY630" s="1474"/>
      <c r="EZ630" s="1474"/>
      <c r="FA630" s="1475"/>
    </row>
    <row r="631" spans="2:157" ht="13.05" customHeight="1">
      <c r="B631" s="52" t="s">
        <v>771</v>
      </c>
      <c r="C631" s="1623"/>
      <c r="D631" s="1461"/>
      <c r="E631" s="1461"/>
      <c r="F631" s="1461"/>
      <c r="G631" s="1461"/>
      <c r="H631" s="1461"/>
      <c r="I631" s="1461"/>
      <c r="J631" s="1461"/>
      <c r="K631" s="1461"/>
      <c r="L631" s="1461"/>
      <c r="M631" s="1421" t="s">
        <v>1289</v>
      </c>
      <c r="N631" s="1421"/>
      <c r="O631" s="1421"/>
      <c r="P631" s="1421"/>
      <c r="Q631" s="1437"/>
      <c r="R631" s="1435"/>
      <c r="S631" s="1436"/>
      <c r="T631" s="1437"/>
      <c r="U631" s="1435"/>
      <c r="V631" s="1436"/>
      <c r="W631" s="1412"/>
      <c r="X631" s="1413"/>
      <c r="Y631" s="1414"/>
      <c r="Z631" s="1464" t="s">
        <v>1289</v>
      </c>
      <c r="AA631" s="1465"/>
      <c r="AB631" s="1466"/>
      <c r="AC631" s="1418"/>
      <c r="AD631" s="1419"/>
      <c r="AE631" s="1420"/>
      <c r="AF631" s="1422"/>
      <c r="AG631" s="1423"/>
      <c r="AH631" s="1423"/>
      <c r="AI631" s="1423"/>
      <c r="AJ631" s="1424"/>
      <c r="AK631" s="1438"/>
      <c r="AL631" s="1439"/>
      <c r="AM631" s="1439"/>
      <c r="AN631" s="1440"/>
      <c r="AO631" s="1498"/>
      <c r="AP631" s="1499"/>
      <c r="AQ631" s="1499"/>
      <c r="AR631" s="1499"/>
      <c r="AS631" s="1500"/>
      <c r="AT631" s="1192" t="str">
        <f t="shared" si="23"/>
        <v/>
      </c>
      <c r="AU631" s="3"/>
      <c r="AZ631" s="3"/>
      <c r="BA631" s="3"/>
      <c r="BB631" s="3"/>
      <c r="BC631" s="3"/>
      <c r="BD631" s="3"/>
      <c r="BE631" s="1473">
        <f t="shared" si="1"/>
        <v>0</v>
      </c>
      <c r="BF631" s="1475"/>
      <c r="BG631" s="1671">
        <f t="shared" si="2"/>
        <v>0</v>
      </c>
      <c r="BH631" s="1673"/>
      <c r="BI631" s="1473">
        <f t="shared" si="3"/>
        <v>0</v>
      </c>
      <c r="BJ631" s="1475"/>
      <c r="BK631" s="1671">
        <f t="shared" si="4"/>
        <v>0</v>
      </c>
      <c r="BL631" s="1673"/>
      <c r="BM631" s="3"/>
      <c r="BN631" s="1479">
        <f t="shared" si="5"/>
        <v>0</v>
      </c>
      <c r="BO631" s="1480"/>
      <c r="BP631" s="1480"/>
      <c r="BQ631" s="1480"/>
      <c r="BR631" s="1481"/>
      <c r="BS631" s="1478">
        <f t="shared" si="6"/>
        <v>0</v>
      </c>
      <c r="BT631" s="1478"/>
      <c r="BU631" s="1478"/>
      <c r="BV631" s="1478"/>
      <c r="BW631" s="1478"/>
      <c r="BX631" s="1478">
        <f t="shared" si="7"/>
        <v>0</v>
      </c>
      <c r="BY631" s="1478"/>
      <c r="BZ631" s="1478"/>
      <c r="CA631" s="1478"/>
      <c r="CB631" s="1478"/>
      <c r="CC631" s="1478">
        <f t="shared" si="8"/>
        <v>0</v>
      </c>
      <c r="CD631" s="1478"/>
      <c r="CE631" s="1478"/>
      <c r="CF631" s="1478"/>
      <c r="CG631" s="1478"/>
      <c r="CH631" s="1478">
        <f t="shared" si="9"/>
        <v>0</v>
      </c>
      <c r="CI631" s="1478"/>
      <c r="CJ631" s="1478"/>
      <c r="CK631" s="1478"/>
      <c r="CL631" s="1478"/>
      <c r="CM631" s="1478">
        <f t="shared" si="10"/>
        <v>0</v>
      </c>
      <c r="CN631" s="1478"/>
      <c r="CO631" s="1478"/>
      <c r="CP631" s="1478"/>
      <c r="CQ631" s="1478"/>
      <c r="CR631" s="6"/>
      <c r="CS631" s="1496">
        <f t="shared" si="11"/>
        <v>0</v>
      </c>
      <c r="CT631" s="1496"/>
      <c r="CU631" s="1496"/>
      <c r="CV631" s="1496"/>
      <c r="CW631" s="1496"/>
      <c r="CX631" s="1496">
        <f t="shared" si="12"/>
        <v>0</v>
      </c>
      <c r="CY631" s="1496"/>
      <c r="CZ631" s="1496"/>
      <c r="DA631" s="1496"/>
      <c r="DB631" s="1496"/>
      <c r="DC631" s="1496">
        <f t="shared" si="13"/>
        <v>0</v>
      </c>
      <c r="DD631" s="1496"/>
      <c r="DE631" s="1496"/>
      <c r="DF631" s="1496"/>
      <c r="DG631" s="1496"/>
      <c r="DH631" s="1496">
        <f t="shared" si="14"/>
        <v>0</v>
      </c>
      <c r="DI631" s="1496"/>
      <c r="DJ631" s="1496"/>
      <c r="DK631" s="1496"/>
      <c r="DL631" s="1496"/>
      <c r="DM631" s="1496">
        <f t="shared" si="15"/>
        <v>0</v>
      </c>
      <c r="DN631" s="1496"/>
      <c r="DO631" s="1496"/>
      <c r="DP631" s="1496"/>
      <c r="DQ631" s="1496"/>
      <c r="DR631" s="1496">
        <f t="shared" si="16"/>
        <v>0</v>
      </c>
      <c r="DS631" s="1496"/>
      <c r="DT631" s="1496"/>
      <c r="DU631" s="1496"/>
      <c r="DV631" s="1496"/>
      <c r="DX631" s="1473" t="str">
        <f t="shared" si="17"/>
        <v/>
      </c>
      <c r="DY631" s="1474"/>
      <c r="DZ631" s="1474"/>
      <c r="EA631" s="1474"/>
      <c r="EB631" s="1475"/>
      <c r="EC631" s="1473" t="str">
        <f t="shared" si="18"/>
        <v/>
      </c>
      <c r="ED631" s="1474"/>
      <c r="EE631" s="1474"/>
      <c r="EF631" s="1474"/>
      <c r="EG631" s="1475"/>
      <c r="EH631" s="1473" t="str">
        <f t="shared" si="19"/>
        <v/>
      </c>
      <c r="EI631" s="1474"/>
      <c r="EJ631" s="1474"/>
      <c r="EK631" s="1474"/>
      <c r="EL631" s="1475"/>
      <c r="EM631" s="1473" t="str">
        <f t="shared" si="20"/>
        <v/>
      </c>
      <c r="EN631" s="1474"/>
      <c r="EO631" s="1474"/>
      <c r="EP631" s="1474"/>
      <c r="EQ631" s="1475"/>
      <c r="ER631" s="1473" t="str">
        <f t="shared" si="21"/>
        <v/>
      </c>
      <c r="ES631" s="1474"/>
      <c r="ET631" s="1474"/>
      <c r="EU631" s="1474"/>
      <c r="EV631" s="1475"/>
      <c r="EW631" s="1473" t="str">
        <f t="shared" si="22"/>
        <v/>
      </c>
      <c r="EX631" s="1474"/>
      <c r="EY631" s="1474"/>
      <c r="EZ631" s="1474"/>
      <c r="FA631" s="1475"/>
    </row>
    <row r="632" spans="2:157" ht="13.05" customHeight="1">
      <c r="B632" s="52" t="s">
        <v>592</v>
      </c>
      <c r="C632" s="1461"/>
      <c r="D632" s="1461"/>
      <c r="E632" s="1461"/>
      <c r="F632" s="1461"/>
      <c r="G632" s="1461"/>
      <c r="H632" s="1461"/>
      <c r="I632" s="1461"/>
      <c r="J632" s="1461"/>
      <c r="K632" s="1461"/>
      <c r="L632" s="1461"/>
      <c r="M632" s="1421" t="s">
        <v>1289</v>
      </c>
      <c r="N632" s="1421"/>
      <c r="O632" s="1421"/>
      <c r="P632" s="1421"/>
      <c r="Q632" s="1437"/>
      <c r="R632" s="1435"/>
      <c r="S632" s="1436"/>
      <c r="T632" s="1437"/>
      <c r="U632" s="1435"/>
      <c r="V632" s="1436"/>
      <c r="W632" s="1412"/>
      <c r="X632" s="1413"/>
      <c r="Y632" s="1414"/>
      <c r="Z632" s="1464" t="s">
        <v>1289</v>
      </c>
      <c r="AA632" s="1465"/>
      <c r="AB632" s="1466"/>
      <c r="AC632" s="1418"/>
      <c r="AD632" s="1419"/>
      <c r="AE632" s="1420"/>
      <c r="AF632" s="1422"/>
      <c r="AG632" s="1423"/>
      <c r="AH632" s="1423"/>
      <c r="AI632" s="1423"/>
      <c r="AJ632" s="1424"/>
      <c r="AK632" s="1438"/>
      <c r="AL632" s="1439"/>
      <c r="AM632" s="1439"/>
      <c r="AN632" s="1440"/>
      <c r="AO632" s="1498"/>
      <c r="AP632" s="1499"/>
      <c r="AQ632" s="1499"/>
      <c r="AR632" s="1499"/>
      <c r="AS632" s="1500"/>
      <c r="AT632" s="1192" t="str">
        <f t="shared" si="23"/>
        <v/>
      </c>
      <c r="AU632" s="3"/>
      <c r="AZ632" s="3"/>
      <c r="BA632" s="3"/>
      <c r="BB632" s="3"/>
      <c r="BC632" s="3"/>
      <c r="BD632" s="3"/>
      <c r="BE632" s="3"/>
      <c r="BF632" s="3"/>
      <c r="BG632" s="1473">
        <f>SUM(BG597:BH631)</f>
        <v>21</v>
      </c>
      <c r="BH632" s="1475"/>
      <c r="BI632" s="3"/>
      <c r="BJ632" s="3"/>
      <c r="BK632" s="1473">
        <f>SUM(BK597:BL631)</f>
        <v>22</v>
      </c>
      <c r="BL632" s="1475"/>
      <c r="BM632" s="3"/>
      <c r="BN632" s="1473">
        <f>SUM(BN597:BR631)</f>
        <v>0</v>
      </c>
      <c r="BO632" s="1474"/>
      <c r="BP632" s="1474"/>
      <c r="BQ632" s="1474"/>
      <c r="BR632" s="1475"/>
      <c r="BS632" s="1497">
        <f>SUM(BS597:BW631)</f>
        <v>21</v>
      </c>
      <c r="BT632" s="1497"/>
      <c r="BU632" s="1497"/>
      <c r="BV632" s="1497"/>
      <c r="BW632" s="1497"/>
      <c r="BX632" s="1497">
        <f>SUM(BX597:CB631)</f>
        <v>40</v>
      </c>
      <c r="BY632" s="1497"/>
      <c r="BZ632" s="1497"/>
      <c r="CA632" s="1497"/>
      <c r="CB632" s="1497"/>
      <c r="CC632" s="1497">
        <f>SUM(CC597:CG631)</f>
        <v>38</v>
      </c>
      <c r="CD632" s="1497"/>
      <c r="CE632" s="1497"/>
      <c r="CF632" s="1497"/>
      <c r="CG632" s="1497"/>
      <c r="CH632" s="1497">
        <f>SUM(CH597:CL631)</f>
        <v>0</v>
      </c>
      <c r="CI632" s="1497"/>
      <c r="CJ632" s="1497"/>
      <c r="CK632" s="1497"/>
      <c r="CL632" s="1497"/>
      <c r="CM632" s="1497">
        <f>SUM(CM597:CQ631)</f>
        <v>0</v>
      </c>
      <c r="CN632" s="1497"/>
      <c r="CO632" s="1497"/>
      <c r="CP632" s="1497"/>
      <c r="CQ632" s="1497"/>
      <c r="CR632" s="385"/>
      <c r="CS632" s="1497">
        <f>SUM(CS597:CW631)</f>
        <v>0</v>
      </c>
      <c r="CT632" s="1497"/>
      <c r="CU632" s="1497"/>
      <c r="CV632" s="1497"/>
      <c r="CW632" s="1497"/>
      <c r="CX632" s="1497">
        <f>SUM(CX597:DB631)</f>
        <v>10</v>
      </c>
      <c r="CY632" s="1497"/>
      <c r="CZ632" s="1497"/>
      <c r="DA632" s="1497"/>
      <c r="DB632" s="1497"/>
      <c r="DC632" s="1497">
        <f>SUM(DC597:DG631)</f>
        <v>8</v>
      </c>
      <c r="DD632" s="1497"/>
      <c r="DE632" s="1497"/>
      <c r="DF632" s="1497"/>
      <c r="DG632" s="1497"/>
      <c r="DH632" s="1497">
        <f>SUM(DH597:DL631)</f>
        <v>4</v>
      </c>
      <c r="DI632" s="1497"/>
      <c r="DJ632" s="1497"/>
      <c r="DK632" s="1497"/>
      <c r="DL632" s="1497"/>
      <c r="DM632" s="1497">
        <f>SUM(DM597:DQ631)</f>
        <v>0</v>
      </c>
      <c r="DN632" s="1497"/>
      <c r="DO632" s="1497"/>
      <c r="DP632" s="1497"/>
      <c r="DQ632" s="1497"/>
      <c r="DR632" s="1497">
        <f>SUM(DR597:DV631)</f>
        <v>0</v>
      </c>
      <c r="DS632" s="1497"/>
      <c r="DT632" s="1497"/>
      <c r="DU632" s="1497"/>
      <c r="DV632" s="1497"/>
      <c r="DX632" s="1497">
        <f>SUM(DX597:EB631)</f>
        <v>0</v>
      </c>
      <c r="DY632" s="1497"/>
      <c r="DZ632" s="1497"/>
      <c r="EA632" s="1497"/>
      <c r="EB632" s="1497"/>
      <c r="EC632" s="1497">
        <f>SUM(EC597:EG631)</f>
        <v>3992</v>
      </c>
      <c r="ED632" s="1497"/>
      <c r="EE632" s="1497"/>
      <c r="EF632" s="1497"/>
      <c r="EG632" s="1497"/>
      <c r="EH632" s="1497">
        <f>SUM(EH597:EL631)</f>
        <v>5487</v>
      </c>
      <c r="EI632" s="1497"/>
      <c r="EJ632" s="1497"/>
      <c r="EK632" s="1497"/>
      <c r="EL632" s="1497"/>
      <c r="EM632" s="1497">
        <f>SUM(EM597:EQ631)</f>
        <v>8440</v>
      </c>
      <c r="EN632" s="1497"/>
      <c r="EO632" s="1497"/>
      <c r="EP632" s="1497"/>
      <c r="EQ632" s="1497"/>
      <c r="ER632" s="1497">
        <f>SUM(ER597:EV631)</f>
        <v>0</v>
      </c>
      <c r="ES632" s="1497"/>
      <c r="ET632" s="1497"/>
      <c r="EU632" s="1497"/>
      <c r="EV632" s="1497"/>
      <c r="EW632" s="1497">
        <f>SUM(EW597:FA631)</f>
        <v>0</v>
      </c>
      <c r="EX632" s="1497"/>
      <c r="EY632" s="1497"/>
      <c r="EZ632" s="1497"/>
      <c r="FA632" s="1497"/>
    </row>
    <row r="633" spans="2:157" ht="13.05" customHeight="1">
      <c r="B633" s="52" t="s">
        <v>463</v>
      </c>
      <c r="C633" s="1461"/>
      <c r="D633" s="1461"/>
      <c r="E633" s="1461"/>
      <c r="F633" s="1461"/>
      <c r="G633" s="1461"/>
      <c r="H633" s="1461"/>
      <c r="I633" s="1461"/>
      <c r="J633" s="1461"/>
      <c r="K633" s="1461"/>
      <c r="L633" s="1461"/>
      <c r="M633" s="1421" t="s">
        <v>1289</v>
      </c>
      <c r="N633" s="1421"/>
      <c r="O633" s="1421"/>
      <c r="P633" s="1421"/>
      <c r="Q633" s="1437"/>
      <c r="R633" s="1435"/>
      <c r="S633" s="1436"/>
      <c r="T633" s="1437"/>
      <c r="U633" s="1435"/>
      <c r="V633" s="1436"/>
      <c r="W633" s="1412"/>
      <c r="X633" s="1413"/>
      <c r="Y633" s="1414"/>
      <c r="Z633" s="1464" t="s">
        <v>1289</v>
      </c>
      <c r="AA633" s="1465"/>
      <c r="AB633" s="1466"/>
      <c r="AC633" s="1418"/>
      <c r="AD633" s="1419"/>
      <c r="AE633" s="1420"/>
      <c r="AF633" s="1422"/>
      <c r="AG633" s="1423"/>
      <c r="AH633" s="1423"/>
      <c r="AI633" s="1423"/>
      <c r="AJ633" s="1424"/>
      <c r="AK633" s="1438"/>
      <c r="AL633" s="1439"/>
      <c r="AM633" s="1439"/>
      <c r="AN633" s="1440"/>
      <c r="AO633" s="1498"/>
      <c r="AP633" s="1499"/>
      <c r="AQ633" s="1499"/>
      <c r="AR633" s="1499"/>
      <c r="AS633" s="1500"/>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473">
        <f>BN632+BS632+BX632+CC632+CH632+CM632</f>
        <v>99</v>
      </c>
      <c r="CN633" s="1474"/>
      <c r="CO633" s="1474"/>
      <c r="CP633" s="1474"/>
      <c r="CQ633" s="1475"/>
      <c r="CR633" s="385"/>
      <c r="CS633" s="3"/>
      <c r="CT633" s="3"/>
      <c r="CU633" s="3"/>
      <c r="CV633" s="3"/>
      <c r="CW633" s="3"/>
      <c r="CX633" s="3"/>
      <c r="CY633" s="3"/>
      <c r="CZ633" s="3"/>
      <c r="DA633" s="3"/>
      <c r="DB633" s="3"/>
      <c r="DC633" s="3"/>
      <c r="DD633" s="3"/>
      <c r="DE633" s="3"/>
      <c r="DF633" s="3"/>
    </row>
    <row r="634" spans="2:157" ht="13.05" customHeight="1">
      <c r="B634" s="52" t="s">
        <v>464</v>
      </c>
      <c r="C634" s="1461"/>
      <c r="D634" s="1461"/>
      <c r="E634" s="1461"/>
      <c r="F634" s="1461"/>
      <c r="G634" s="1461"/>
      <c r="H634" s="1461"/>
      <c r="I634" s="1461"/>
      <c r="J634" s="1461"/>
      <c r="K634" s="1461"/>
      <c r="L634" s="1461"/>
      <c r="M634" s="1421" t="s">
        <v>1289</v>
      </c>
      <c r="N634" s="1421"/>
      <c r="O634" s="1421"/>
      <c r="P634" s="1421"/>
      <c r="Q634" s="1437"/>
      <c r="R634" s="1435"/>
      <c r="S634" s="1436"/>
      <c r="T634" s="1437"/>
      <c r="U634" s="1435"/>
      <c r="V634" s="1436"/>
      <c r="W634" s="1412"/>
      <c r="X634" s="1413"/>
      <c r="Y634" s="1414"/>
      <c r="Z634" s="1464" t="s">
        <v>1289</v>
      </c>
      <c r="AA634" s="1465"/>
      <c r="AB634" s="1466"/>
      <c r="AC634" s="1418"/>
      <c r="AD634" s="1419"/>
      <c r="AE634" s="1420"/>
      <c r="AF634" s="1422"/>
      <c r="AG634" s="1423"/>
      <c r="AH634" s="1423"/>
      <c r="AI634" s="1423"/>
      <c r="AJ634" s="1424"/>
      <c r="AK634" s="1438"/>
      <c r="AL634" s="1439"/>
      <c r="AM634" s="1439"/>
      <c r="AN634" s="1440"/>
      <c r="AO634" s="1498"/>
      <c r="AP634" s="1499"/>
      <c r="AQ634" s="1499"/>
      <c r="AR634" s="1499"/>
      <c r="AS634" s="1500"/>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21</v>
      </c>
      <c r="BX634" s="3"/>
      <c r="BY634" s="3"/>
      <c r="BZ634" s="3"/>
      <c r="CA634" s="3"/>
      <c r="CB634" s="895">
        <f>BX632*2</f>
        <v>80</v>
      </c>
      <c r="CC634" s="3"/>
      <c r="CD634" s="3"/>
      <c r="CE634" s="3"/>
      <c r="CF634" s="3"/>
      <c r="CG634" s="895">
        <f>CC632*3</f>
        <v>114</v>
      </c>
      <c r="CH634" s="3"/>
      <c r="CI634" s="3"/>
      <c r="CJ634" s="3"/>
      <c r="CK634" s="3"/>
      <c r="CL634" s="895">
        <f>CH632*4</f>
        <v>0</v>
      </c>
      <c r="CM634" s="3"/>
      <c r="CN634" s="3"/>
      <c r="CO634" s="3"/>
      <c r="CP634" s="3"/>
      <c r="CQ634" s="895">
        <f>CM632*5</f>
        <v>0</v>
      </c>
      <c r="CS634" s="895">
        <f>BR634+BW634+CB634+CG634+CL634+CQ634</f>
        <v>215</v>
      </c>
      <c r="CT634" s="57" t="s">
        <v>2051</v>
      </c>
      <c r="CU634" s="3"/>
      <c r="CV634" s="3"/>
      <c r="CW634" s="3"/>
      <c r="CX634" s="3"/>
      <c r="CY634" s="3"/>
      <c r="CZ634" s="3"/>
      <c r="DA634" s="3"/>
      <c r="DB634" s="3"/>
      <c r="DC634" s="3"/>
      <c r="DD634" s="3"/>
      <c r="DE634" s="3"/>
      <c r="DF634" s="3"/>
    </row>
    <row r="635" spans="2:157" ht="13.05" customHeight="1">
      <c r="B635" s="52" t="s">
        <v>469</v>
      </c>
      <c r="C635" s="1461"/>
      <c r="D635" s="1461"/>
      <c r="E635" s="1461"/>
      <c r="F635" s="1461"/>
      <c r="G635" s="1461"/>
      <c r="H635" s="1461"/>
      <c r="I635" s="1461"/>
      <c r="J635" s="1461"/>
      <c r="K635" s="1461"/>
      <c r="L635" s="1461"/>
      <c r="M635" s="1421" t="s">
        <v>1289</v>
      </c>
      <c r="N635" s="1421"/>
      <c r="O635" s="1421"/>
      <c r="P635" s="1421"/>
      <c r="Q635" s="1437"/>
      <c r="R635" s="1435"/>
      <c r="S635" s="1436"/>
      <c r="T635" s="1437"/>
      <c r="U635" s="1435"/>
      <c r="V635" s="1436"/>
      <c r="W635" s="1412"/>
      <c r="X635" s="1413"/>
      <c r="Y635" s="1414"/>
      <c r="Z635" s="1464" t="s">
        <v>1289</v>
      </c>
      <c r="AA635" s="1465"/>
      <c r="AB635" s="1466"/>
      <c r="AC635" s="1418"/>
      <c r="AD635" s="1419"/>
      <c r="AE635" s="1420"/>
      <c r="AF635" s="1422"/>
      <c r="AG635" s="1423"/>
      <c r="AH635" s="1423"/>
      <c r="AI635" s="1423"/>
      <c r="AJ635" s="1424"/>
      <c r="AK635" s="1438"/>
      <c r="AL635" s="1439"/>
      <c r="AM635" s="1439"/>
      <c r="AN635" s="1440"/>
      <c r="AO635" s="1498"/>
      <c r="AP635" s="1499"/>
      <c r="AQ635" s="1499"/>
      <c r="AR635" s="1499"/>
      <c r="AS635" s="1500"/>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6" t="e">
        <f>DX597*(BN597/$BN$632)</f>
        <v>#VALUE!</v>
      </c>
      <c r="DY635" s="1476"/>
      <c r="DZ635" s="1476"/>
      <c r="EA635" s="1476"/>
      <c r="EB635" s="1476"/>
      <c r="EC635" s="1476">
        <f t="shared" ref="EC635:EC657" si="24">EC597*(BS597/$BS$632)</f>
        <v>73.19047619047619</v>
      </c>
      <c r="ED635" s="1476"/>
      <c r="EE635" s="1476"/>
      <c r="EF635" s="1476"/>
      <c r="EG635" s="1476"/>
      <c r="EH635" s="1476" t="e">
        <f t="shared" ref="EH635:EH657" si="25">EH597*(BX597/$BX$632)</f>
        <v>#VALUE!</v>
      </c>
      <c r="EI635" s="1476"/>
      <c r="EJ635" s="1476"/>
      <c r="EK635" s="1476"/>
      <c r="EL635" s="1476"/>
      <c r="EM635" s="1476" t="e">
        <f t="shared" ref="EM635:EM657" si="26">EM597*(CC597/$CC$632)</f>
        <v>#VALUE!</v>
      </c>
      <c r="EN635" s="1476"/>
      <c r="EO635" s="1476"/>
      <c r="EP635" s="1476"/>
      <c r="EQ635" s="1476"/>
      <c r="ER635" s="1476" t="e">
        <f t="shared" ref="ER635:ER657" si="27">ER597*(CH597/$CH$632)</f>
        <v>#VALUE!</v>
      </c>
      <c r="ES635" s="1476"/>
      <c r="ET635" s="1476"/>
      <c r="EU635" s="1476"/>
      <c r="EV635" s="1476"/>
      <c r="EW635" s="1476" t="e">
        <f t="shared" ref="EW635:EW657" si="28">EW597*(CM597/$CM$632)</f>
        <v>#VALUE!</v>
      </c>
      <c r="EX635" s="1476"/>
      <c r="EY635" s="1476"/>
      <c r="EZ635" s="1476"/>
      <c r="FA635" s="1476"/>
    </row>
    <row r="636" spans="2:157" ht="13.05" customHeight="1">
      <c r="B636" s="52" t="s">
        <v>653</v>
      </c>
      <c r="C636" s="1461"/>
      <c r="D636" s="1461"/>
      <c r="E636" s="1461"/>
      <c r="F636" s="1461"/>
      <c r="G636" s="1461"/>
      <c r="H636" s="1461"/>
      <c r="I636" s="1461"/>
      <c r="J636" s="1461"/>
      <c r="K636" s="1461"/>
      <c r="L636" s="1461"/>
      <c r="M636" s="1421" t="s">
        <v>1289</v>
      </c>
      <c r="N636" s="1421"/>
      <c r="O636" s="1421"/>
      <c r="P636" s="1421"/>
      <c r="Q636" s="1437"/>
      <c r="R636" s="1435"/>
      <c r="S636" s="1436"/>
      <c r="T636" s="1437"/>
      <c r="U636" s="1435"/>
      <c r="V636" s="1436"/>
      <c r="W636" s="1412"/>
      <c r="X636" s="1413"/>
      <c r="Y636" s="1414"/>
      <c r="Z636" s="1464" t="s">
        <v>1289</v>
      </c>
      <c r="AA636" s="1465"/>
      <c r="AB636" s="1466"/>
      <c r="AC636" s="1418"/>
      <c r="AD636" s="1419"/>
      <c r="AE636" s="1420"/>
      <c r="AF636" s="1422"/>
      <c r="AG636" s="1423"/>
      <c r="AH636" s="1423"/>
      <c r="AI636" s="1423"/>
      <c r="AJ636" s="1424"/>
      <c r="AK636" s="1438"/>
      <c r="AL636" s="1439"/>
      <c r="AM636" s="1439"/>
      <c r="AN636" s="1440"/>
      <c r="AO636" s="1498"/>
      <c r="AP636" s="1499"/>
      <c r="AQ636" s="1499"/>
      <c r="AR636" s="1499"/>
      <c r="AS636" s="1500"/>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6" t="e">
        <f t="shared" ref="DX636:DX657" si="29">DX598*(BN598/$BN$632)</f>
        <v>#VALUE!</v>
      </c>
      <c r="DY636" s="1476"/>
      <c r="DZ636" s="1476"/>
      <c r="EA636" s="1476"/>
      <c r="EB636" s="1476"/>
      <c r="EC636" s="1476">
        <f t="shared" si="24"/>
        <v>731.90476190476181</v>
      </c>
      <c r="ED636" s="1476"/>
      <c r="EE636" s="1476"/>
      <c r="EF636" s="1476"/>
      <c r="EG636" s="1476"/>
      <c r="EH636" s="1476" t="e">
        <f t="shared" si="25"/>
        <v>#VALUE!</v>
      </c>
      <c r="EI636" s="1476"/>
      <c r="EJ636" s="1476"/>
      <c r="EK636" s="1476"/>
      <c r="EL636" s="1476"/>
      <c r="EM636" s="1476" t="e">
        <f t="shared" si="26"/>
        <v>#VALUE!</v>
      </c>
      <c r="EN636" s="1476"/>
      <c r="EO636" s="1476"/>
      <c r="EP636" s="1476"/>
      <c r="EQ636" s="1476"/>
      <c r="ER636" s="1476" t="e">
        <f t="shared" si="27"/>
        <v>#VALUE!</v>
      </c>
      <c r="ES636" s="1476"/>
      <c r="ET636" s="1476"/>
      <c r="EU636" s="1476"/>
      <c r="EV636" s="1476"/>
      <c r="EW636" s="1476" t="e">
        <f t="shared" si="28"/>
        <v>#VALUE!</v>
      </c>
      <c r="EX636" s="1476"/>
      <c r="EY636" s="1476"/>
      <c r="EZ636" s="1476"/>
      <c r="FA636" s="1476"/>
    </row>
    <row r="637" spans="2:157" ht="13.05" customHeight="1">
      <c r="B637" s="52" t="s">
        <v>363</v>
      </c>
      <c r="C637" s="1461"/>
      <c r="D637" s="1461"/>
      <c r="E637" s="1461"/>
      <c r="F637" s="1461"/>
      <c r="G637" s="1461"/>
      <c r="H637" s="1461"/>
      <c r="I637" s="1461"/>
      <c r="J637" s="1461"/>
      <c r="K637" s="1461"/>
      <c r="L637" s="1461"/>
      <c r="M637" s="1421" t="s">
        <v>1289</v>
      </c>
      <c r="N637" s="1421"/>
      <c r="O637" s="1421"/>
      <c r="P637" s="1421"/>
      <c r="Q637" s="1437"/>
      <c r="R637" s="1435"/>
      <c r="S637" s="1436"/>
      <c r="T637" s="1437"/>
      <c r="U637" s="1435"/>
      <c r="V637" s="1436"/>
      <c r="W637" s="1412"/>
      <c r="X637" s="1413"/>
      <c r="Y637" s="1414"/>
      <c r="Z637" s="1464" t="s">
        <v>1289</v>
      </c>
      <c r="AA637" s="1465"/>
      <c r="AB637" s="1466"/>
      <c r="AC637" s="1418"/>
      <c r="AD637" s="1419"/>
      <c r="AE637" s="1420"/>
      <c r="AF637" s="1422"/>
      <c r="AG637" s="1423"/>
      <c r="AH637" s="1423"/>
      <c r="AI637" s="1423"/>
      <c r="AJ637" s="1424"/>
      <c r="AK637" s="1438"/>
      <c r="AL637" s="1439"/>
      <c r="AM637" s="1439"/>
      <c r="AN637" s="1440"/>
      <c r="AO637" s="1498"/>
      <c r="AP637" s="1499"/>
      <c r="AQ637" s="1499"/>
      <c r="AR637" s="1499"/>
      <c r="AS637" s="1500"/>
      <c r="AT637" s="1192" t="str">
        <f t="shared" si="23"/>
        <v/>
      </c>
      <c r="AV637" s="3"/>
      <c r="AW637" s="3"/>
      <c r="AX637" s="3"/>
      <c r="AY637" s="3"/>
      <c r="AZ637" s="34"/>
      <c r="BA637" s="3" t="s">
        <v>2445</v>
      </c>
      <c r="BB637" s="34"/>
      <c r="BC637" s="34"/>
      <c r="BD637" s="34"/>
      <c r="BE637" s="34"/>
      <c r="BF637" s="34"/>
      <c r="BG637" s="34"/>
      <c r="BH637" s="34"/>
      <c r="BI637" s="34"/>
      <c r="BJ637" s="34"/>
      <c r="BK637" s="34"/>
      <c r="BL637" s="34"/>
      <c r="BM637" s="34"/>
      <c r="BN637" s="1479">
        <f>IF(J773="SRO/Studio",O773,0)</f>
        <v>0</v>
      </c>
      <c r="BO637" s="1480"/>
      <c r="BP637" s="1480"/>
      <c r="BQ637" s="1480"/>
      <c r="BR637" s="1481"/>
      <c r="BS637" s="1478">
        <f>IF(J773="1 Bedroom",O773,0)</f>
        <v>0</v>
      </c>
      <c r="BT637" s="1478"/>
      <c r="BU637" s="1478"/>
      <c r="BV637" s="1478"/>
      <c r="BW637" s="1478"/>
      <c r="BX637" s="1478">
        <f>IF(J773="2 Bedrooms",O773,0)</f>
        <v>0</v>
      </c>
      <c r="BY637" s="1478"/>
      <c r="BZ637" s="1478"/>
      <c r="CA637" s="1478"/>
      <c r="CB637" s="1478"/>
      <c r="CC637" s="1478">
        <f>IF(J773="3 Bedrooms",O773,0)</f>
        <v>1</v>
      </c>
      <c r="CD637" s="1478"/>
      <c r="CE637" s="1478"/>
      <c r="CF637" s="1478"/>
      <c r="CG637" s="1478"/>
      <c r="CH637" s="1478">
        <f>IF(J773="4 Bedrooms",O773,0)</f>
        <v>0</v>
      </c>
      <c r="CI637" s="1478"/>
      <c r="CJ637" s="1478"/>
      <c r="CK637" s="1478"/>
      <c r="CL637" s="1478"/>
      <c r="CM637" s="1478">
        <f>IF(J773="5 Bedrooms",O773,0)</f>
        <v>0</v>
      </c>
      <c r="CN637" s="1478"/>
      <c r="CO637" s="1478"/>
      <c r="CP637" s="1478"/>
      <c r="CQ637" s="1478"/>
      <c r="CR637" s="6"/>
      <c r="CS637" s="3"/>
      <c r="CT637" s="3"/>
      <c r="CU637" s="3"/>
      <c r="CV637" s="3"/>
      <c r="CW637" s="3"/>
      <c r="CX637" s="3"/>
      <c r="CY637" s="3"/>
      <c r="CZ637" s="3"/>
      <c r="DA637" s="3"/>
      <c r="DB637" s="3"/>
      <c r="DC637" s="3"/>
      <c r="DD637" s="3"/>
      <c r="DE637" s="3"/>
      <c r="DF637" s="3"/>
      <c r="DX637" s="1476" t="e">
        <f t="shared" si="29"/>
        <v>#VALUE!</v>
      </c>
      <c r="DY637" s="1476"/>
      <c r="DZ637" s="1476"/>
      <c r="EA637" s="1476"/>
      <c r="EB637" s="1476"/>
      <c r="EC637" s="1476">
        <f t="shared" si="24"/>
        <v>437.14285714285711</v>
      </c>
      <c r="ED637" s="1476"/>
      <c r="EE637" s="1476"/>
      <c r="EF637" s="1476"/>
      <c r="EG637" s="1476"/>
      <c r="EH637" s="1476" t="e">
        <f t="shared" si="25"/>
        <v>#VALUE!</v>
      </c>
      <c r="EI637" s="1476"/>
      <c r="EJ637" s="1476"/>
      <c r="EK637" s="1476"/>
      <c r="EL637" s="1476"/>
      <c r="EM637" s="1476" t="e">
        <f t="shared" si="26"/>
        <v>#VALUE!</v>
      </c>
      <c r="EN637" s="1476"/>
      <c r="EO637" s="1476"/>
      <c r="EP637" s="1476"/>
      <c r="EQ637" s="1476"/>
      <c r="ER637" s="1476" t="e">
        <f t="shared" si="27"/>
        <v>#VALUE!</v>
      </c>
      <c r="ES637" s="1476"/>
      <c r="ET637" s="1476"/>
      <c r="EU637" s="1476"/>
      <c r="EV637" s="1476"/>
      <c r="EW637" s="1476" t="e">
        <f t="shared" si="28"/>
        <v>#VALUE!</v>
      </c>
      <c r="EX637" s="1476"/>
      <c r="EY637" s="1476"/>
      <c r="EZ637" s="1476"/>
      <c r="FA637" s="1476"/>
    </row>
    <row r="638" spans="2:157" ht="13.05" customHeight="1">
      <c r="B638" s="52" t="s">
        <v>364</v>
      </c>
      <c r="C638" s="1461"/>
      <c r="D638" s="1461"/>
      <c r="E638" s="1461"/>
      <c r="F638" s="1461"/>
      <c r="G638" s="1461"/>
      <c r="H638" s="1461"/>
      <c r="I638" s="1461"/>
      <c r="J638" s="1461"/>
      <c r="K638" s="1461"/>
      <c r="L638" s="1461"/>
      <c r="M638" s="1421" t="s">
        <v>1289</v>
      </c>
      <c r="N638" s="1421"/>
      <c r="O638" s="1421"/>
      <c r="P638" s="1421"/>
      <c r="Q638" s="1437"/>
      <c r="R638" s="1435"/>
      <c r="S638" s="1436"/>
      <c r="T638" s="1437"/>
      <c r="U638" s="1435"/>
      <c r="V638" s="1436"/>
      <c r="W638" s="1412"/>
      <c r="X638" s="1413"/>
      <c r="Y638" s="1414"/>
      <c r="Z638" s="1464" t="s">
        <v>1289</v>
      </c>
      <c r="AA638" s="1465"/>
      <c r="AB638" s="1466"/>
      <c r="AC638" s="1418"/>
      <c r="AD638" s="1419"/>
      <c r="AE638" s="1420"/>
      <c r="AF638" s="1422"/>
      <c r="AG638" s="1423"/>
      <c r="AH638" s="1423"/>
      <c r="AI638" s="1423"/>
      <c r="AJ638" s="1424"/>
      <c r="AK638" s="1438"/>
      <c r="AL638" s="1439"/>
      <c r="AM638" s="1439"/>
      <c r="AN638" s="1440"/>
      <c r="AO638" s="1498"/>
      <c r="AP638" s="1499"/>
      <c r="AQ638" s="1499"/>
      <c r="AR638" s="1499"/>
      <c r="AS638" s="1500"/>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79">
        <f>IF(J774="SRO/Studio",O774,0)</f>
        <v>0</v>
      </c>
      <c r="BO638" s="1480"/>
      <c r="BP638" s="1480"/>
      <c r="BQ638" s="1480"/>
      <c r="BR638" s="1481"/>
      <c r="BS638" s="1478">
        <f>IF(J774="1 Bedroom",O774,0)</f>
        <v>0</v>
      </c>
      <c r="BT638" s="1478"/>
      <c r="BU638" s="1478"/>
      <c r="BV638" s="1478"/>
      <c r="BW638" s="1478"/>
      <c r="BX638" s="1478">
        <f>IF(J774="2 Bedrooms",O774,0)</f>
        <v>0</v>
      </c>
      <c r="BY638" s="1478"/>
      <c r="BZ638" s="1478"/>
      <c r="CA638" s="1478"/>
      <c r="CB638" s="1478"/>
      <c r="CC638" s="1478">
        <f>IF(J774="3 Bedrooms",O774,0)</f>
        <v>0</v>
      </c>
      <c r="CD638" s="1478"/>
      <c r="CE638" s="1478"/>
      <c r="CF638" s="1478"/>
      <c r="CG638" s="1478"/>
      <c r="CH638" s="1478">
        <f>IF(J774="4 Bedrooms",O774,0)</f>
        <v>0</v>
      </c>
      <c r="CI638" s="1478"/>
      <c r="CJ638" s="1478"/>
      <c r="CK638" s="1478"/>
      <c r="CL638" s="1478"/>
      <c r="CM638" s="1478">
        <f>IF(J774="5 Bedrooms",O774,0)</f>
        <v>0</v>
      </c>
      <c r="CN638" s="1478"/>
      <c r="CO638" s="1478"/>
      <c r="CP638" s="1478"/>
      <c r="CQ638" s="1478"/>
      <c r="CR638" s="6"/>
      <c r="CS638" s="3"/>
      <c r="CT638" s="3"/>
      <c r="CU638" s="3"/>
      <c r="CV638" s="3"/>
      <c r="CW638" s="3"/>
      <c r="CX638" s="3"/>
      <c r="CY638" s="3"/>
      <c r="CZ638" s="3"/>
      <c r="DA638" s="3"/>
      <c r="DB638" s="3"/>
      <c r="DC638" s="3"/>
      <c r="DD638" s="3"/>
      <c r="DE638" s="3"/>
      <c r="DF638" s="3"/>
      <c r="DX638" s="1476" t="e">
        <f t="shared" si="29"/>
        <v>#VALUE!</v>
      </c>
      <c r="DY638" s="1476"/>
      <c r="DZ638" s="1476"/>
      <c r="EA638" s="1476"/>
      <c r="EB638" s="1476"/>
      <c r="EC638" s="1476" t="e">
        <f t="shared" si="24"/>
        <v>#VALUE!</v>
      </c>
      <c r="ED638" s="1476"/>
      <c r="EE638" s="1476"/>
      <c r="EF638" s="1476"/>
      <c r="EG638" s="1476"/>
      <c r="EH638" s="1476">
        <f t="shared" si="25"/>
        <v>1563.75</v>
      </c>
      <c r="EI638" s="1476"/>
      <c r="EJ638" s="1476"/>
      <c r="EK638" s="1476"/>
      <c r="EL638" s="1476"/>
      <c r="EM638" s="1476" t="e">
        <f t="shared" si="26"/>
        <v>#VALUE!</v>
      </c>
      <c r="EN638" s="1476"/>
      <c r="EO638" s="1476"/>
      <c r="EP638" s="1476"/>
      <c r="EQ638" s="1476"/>
      <c r="ER638" s="1476" t="e">
        <f t="shared" si="27"/>
        <v>#VALUE!</v>
      </c>
      <c r="ES638" s="1476"/>
      <c r="ET638" s="1476"/>
      <c r="EU638" s="1476"/>
      <c r="EV638" s="1476"/>
      <c r="EW638" s="1476" t="e">
        <f t="shared" si="28"/>
        <v>#VALUE!</v>
      </c>
      <c r="EX638" s="1476"/>
      <c r="EY638" s="1476"/>
      <c r="EZ638" s="1476"/>
      <c r="FA638" s="1476"/>
    </row>
    <row r="639" spans="2:157" ht="13.05" customHeight="1">
      <c r="B639" s="1376" t="s">
        <v>128</v>
      </c>
      <c r="C639" s="1377"/>
      <c r="D639" s="1377"/>
      <c r="E639" s="1377"/>
      <c r="F639" s="1377"/>
      <c r="G639" s="1377"/>
      <c r="H639" s="1377"/>
      <c r="I639" s="1377"/>
      <c r="J639" s="1377"/>
      <c r="K639" s="1377"/>
      <c r="L639" s="1377"/>
      <c r="M639" s="1377"/>
      <c r="N639" s="1377"/>
      <c r="O639" s="1377"/>
      <c r="P639" s="1377"/>
      <c r="Q639" s="1377"/>
      <c r="R639" s="1377"/>
      <c r="S639" s="1377"/>
      <c r="T639" s="1377"/>
      <c r="U639" s="1377"/>
      <c r="V639" s="1377"/>
      <c r="W639" s="1377"/>
      <c r="X639" s="1377"/>
      <c r="Y639" s="1377"/>
      <c r="Z639" s="1377"/>
      <c r="AA639" s="1377"/>
      <c r="AB639" s="1377"/>
      <c r="AC639" s="1377"/>
      <c r="AD639" s="1377"/>
      <c r="AE639" s="1377"/>
      <c r="AF639" s="1377"/>
      <c r="AG639" s="1377"/>
      <c r="AH639" s="1377"/>
      <c r="AI639" s="1377"/>
      <c r="AJ639" s="1377"/>
      <c r="AK639" s="1377"/>
      <c r="AL639" s="1377"/>
      <c r="AM639" s="1377"/>
      <c r="AN639" s="1378"/>
      <c r="AO639" s="1632">
        <f>SUM(AO627:AR638)</f>
        <v>40683779</v>
      </c>
      <c r="AP639" s="1633"/>
      <c r="AQ639" s="1633"/>
      <c r="AR639" s="1633"/>
      <c r="AS639" s="1634"/>
      <c r="AV639" s="3"/>
      <c r="AW639" s="3"/>
      <c r="AX639" s="3"/>
      <c r="AY639" s="3"/>
      <c r="AZ639" s="34"/>
      <c r="BA639" s="34"/>
      <c r="BB639" s="34"/>
      <c r="BC639" s="34"/>
      <c r="BD639" s="34"/>
      <c r="BE639" s="34"/>
      <c r="BF639" s="34"/>
      <c r="BG639" s="34"/>
      <c r="BH639" s="34"/>
      <c r="BI639" s="34"/>
      <c r="BJ639" s="34"/>
      <c r="BK639" s="34"/>
      <c r="BL639" s="34"/>
      <c r="BM639" s="34"/>
      <c r="BN639" s="1479">
        <f>IF(J775="SRO/Studio",O775,0)</f>
        <v>0</v>
      </c>
      <c r="BO639" s="1480"/>
      <c r="BP639" s="1480"/>
      <c r="BQ639" s="1480"/>
      <c r="BR639" s="1481"/>
      <c r="BS639" s="1478">
        <f>IF(J775="1 Bedroom",O775,0)</f>
        <v>0</v>
      </c>
      <c r="BT639" s="1478"/>
      <c r="BU639" s="1478"/>
      <c r="BV639" s="1478"/>
      <c r="BW639" s="1478"/>
      <c r="BX639" s="1478">
        <f>IF(J775="2 Bedrooms",O775,0)</f>
        <v>0</v>
      </c>
      <c r="BY639" s="1478"/>
      <c r="BZ639" s="1478"/>
      <c r="CA639" s="1478"/>
      <c r="CB639" s="1478"/>
      <c r="CC639" s="1478">
        <f>IF(J775="3 Bedrooms",O775,0)</f>
        <v>0</v>
      </c>
      <c r="CD639" s="1478"/>
      <c r="CE639" s="1478"/>
      <c r="CF639" s="1478"/>
      <c r="CG639" s="1478"/>
      <c r="CH639" s="1478">
        <f>IF(J775="4 Bedrooms",O775,0)</f>
        <v>0</v>
      </c>
      <c r="CI639" s="1478"/>
      <c r="CJ639" s="1478"/>
      <c r="CK639" s="1478"/>
      <c r="CL639" s="1478"/>
      <c r="CM639" s="1478">
        <f>IF(J775="5 Bedrooms",O775,0)</f>
        <v>0</v>
      </c>
      <c r="CN639" s="1478"/>
      <c r="CO639" s="1478"/>
      <c r="CP639" s="1478"/>
      <c r="CQ639" s="1478"/>
      <c r="CR639" s="1047"/>
      <c r="CV639" s="3"/>
      <c r="CW639" s="3"/>
      <c r="CX639" s="3"/>
      <c r="CY639" s="3"/>
      <c r="CZ639" s="3"/>
      <c r="DA639" s="3"/>
      <c r="DB639" s="3"/>
      <c r="DC639" s="3"/>
      <c r="DD639" s="3"/>
      <c r="DE639" s="3"/>
      <c r="DF639" s="3"/>
      <c r="DX639" s="1476" t="e">
        <f t="shared" si="29"/>
        <v>#VALUE!</v>
      </c>
      <c r="DY639" s="1476"/>
      <c r="DZ639" s="1476"/>
      <c r="EA639" s="1476"/>
      <c r="EB639" s="1476"/>
      <c r="EC639" s="1476" t="e">
        <f t="shared" si="24"/>
        <v>#VALUE!</v>
      </c>
      <c r="ED639" s="1476"/>
      <c r="EE639" s="1476"/>
      <c r="EF639" s="1476"/>
      <c r="EG639" s="1476"/>
      <c r="EH639" s="1476">
        <f t="shared" si="25"/>
        <v>332.5</v>
      </c>
      <c r="EI639" s="1476"/>
      <c r="EJ639" s="1476"/>
      <c r="EK639" s="1476"/>
      <c r="EL639" s="1476"/>
      <c r="EM639" s="1476" t="e">
        <f t="shared" si="26"/>
        <v>#VALUE!</v>
      </c>
      <c r="EN639" s="1476"/>
      <c r="EO639" s="1476"/>
      <c r="EP639" s="1476"/>
      <c r="EQ639" s="1476"/>
      <c r="ER639" s="1476" t="e">
        <f t="shared" si="27"/>
        <v>#VALUE!</v>
      </c>
      <c r="ES639" s="1476"/>
      <c r="ET639" s="1476"/>
      <c r="EU639" s="1476"/>
      <c r="EV639" s="1476"/>
      <c r="EW639" s="1476" t="e">
        <f t="shared" si="28"/>
        <v>#VALUE!</v>
      </c>
      <c r="EX639" s="1476"/>
      <c r="EY639" s="1476"/>
      <c r="EZ639" s="1476"/>
      <c r="FA639" s="1476"/>
    </row>
    <row r="640" spans="2:157" ht="13.05" customHeight="1">
      <c r="B640" s="1376" t="s">
        <v>268</v>
      </c>
      <c r="C640" s="1377"/>
      <c r="D640" s="1377"/>
      <c r="E640" s="1377"/>
      <c r="F640" s="1377"/>
      <c r="G640" s="1377"/>
      <c r="H640" s="1377"/>
      <c r="I640" s="1377"/>
      <c r="J640" s="1377"/>
      <c r="K640" s="1377"/>
      <c r="L640" s="1377"/>
      <c r="M640" s="1377"/>
      <c r="N640" s="1377"/>
      <c r="O640" s="1377"/>
      <c r="P640" s="1377"/>
      <c r="Q640" s="1377"/>
      <c r="R640" s="1377"/>
      <c r="S640" s="1377"/>
      <c r="T640" s="1377"/>
      <c r="U640" s="1377"/>
      <c r="V640" s="1377"/>
      <c r="W640" s="1377"/>
      <c r="X640" s="1377"/>
      <c r="Y640" s="1377"/>
      <c r="Z640" s="1377"/>
      <c r="AA640" s="1377"/>
      <c r="AB640" s="1377"/>
      <c r="AC640" s="1377"/>
      <c r="AD640" s="1377"/>
      <c r="AE640" s="1377"/>
      <c r="AF640" s="1377"/>
      <c r="AG640" s="1377"/>
      <c r="AH640" s="1377"/>
      <c r="AI640" s="1377"/>
      <c r="AJ640" s="1377"/>
      <c r="AK640" s="1377"/>
      <c r="AL640" s="1377"/>
      <c r="AM640" s="1377"/>
      <c r="AN640" s="1378"/>
      <c r="AO640" s="1498">
        <v>46470942</v>
      </c>
      <c r="AP640" s="1499"/>
      <c r="AQ640" s="1499"/>
      <c r="AR640" s="1499"/>
      <c r="AS640" s="1500"/>
      <c r="AV640" s="3"/>
      <c r="AW640" s="3"/>
      <c r="AX640" s="3"/>
      <c r="AY640" s="3"/>
      <c r="AZ640" s="34"/>
      <c r="BA640" s="34"/>
      <c r="BB640" s="34"/>
      <c r="BC640" s="34"/>
      <c r="BD640" s="34"/>
      <c r="BE640" s="34"/>
      <c r="BF640" s="34"/>
      <c r="BG640" s="34"/>
      <c r="BH640" s="34"/>
      <c r="BI640" s="34"/>
      <c r="BJ640" s="34"/>
      <c r="BK640" s="34"/>
      <c r="BL640" s="34"/>
      <c r="BM640" s="34"/>
      <c r="BN640" s="1479">
        <f>IF(J776="SRO/Studio",O776,0)</f>
        <v>0</v>
      </c>
      <c r="BO640" s="1480"/>
      <c r="BP640" s="1480"/>
      <c r="BQ640" s="1480"/>
      <c r="BR640" s="1481"/>
      <c r="BS640" s="1478">
        <f>IF(J776="1 Bedroom",O776,0)</f>
        <v>0</v>
      </c>
      <c r="BT640" s="1478"/>
      <c r="BU640" s="1478"/>
      <c r="BV640" s="1478"/>
      <c r="BW640" s="1478"/>
      <c r="BX640" s="1478">
        <f>IF(J776="2 Bedrooms",O776,0)</f>
        <v>0</v>
      </c>
      <c r="BY640" s="1478"/>
      <c r="BZ640" s="1478"/>
      <c r="CA640" s="1478"/>
      <c r="CB640" s="1478"/>
      <c r="CC640" s="1478">
        <f>IF(J776="3 Bedrooms",O776,0)</f>
        <v>0</v>
      </c>
      <c r="CD640" s="1478"/>
      <c r="CE640" s="1478"/>
      <c r="CF640" s="1478"/>
      <c r="CG640" s="1478"/>
      <c r="CH640" s="1478">
        <f>IF(J776="4 Bedrooms",O776,0)</f>
        <v>0</v>
      </c>
      <c r="CI640" s="1478"/>
      <c r="CJ640" s="1478"/>
      <c r="CK640" s="1478"/>
      <c r="CL640" s="1478"/>
      <c r="CM640" s="1478">
        <f>IF(J776="5 Bedrooms",O776,0)</f>
        <v>0</v>
      </c>
      <c r="CN640" s="1478"/>
      <c r="CO640" s="1478"/>
      <c r="CP640" s="1478"/>
      <c r="CQ640" s="1478"/>
      <c r="CV640" s="3"/>
      <c r="CW640" s="3"/>
      <c r="CX640" s="3"/>
      <c r="CY640" s="3"/>
      <c r="CZ640" s="3"/>
      <c r="DA640" s="3"/>
      <c r="DB640" s="3"/>
      <c r="DC640" s="3"/>
      <c r="DD640" s="3"/>
      <c r="DE640" s="3"/>
      <c r="DF640" s="3"/>
      <c r="DX640" s="1476" t="e">
        <f t="shared" si="29"/>
        <v>#VALUE!</v>
      </c>
      <c r="DY640" s="1476"/>
      <c r="DZ640" s="1476"/>
      <c r="EA640" s="1476"/>
      <c r="EB640" s="1476"/>
      <c r="EC640" s="1476" t="e">
        <f t="shared" si="24"/>
        <v>#VALUE!</v>
      </c>
      <c r="ED640" s="1476"/>
      <c r="EE640" s="1476"/>
      <c r="EF640" s="1476"/>
      <c r="EG640" s="1476"/>
      <c r="EH640" s="1476">
        <f t="shared" si="25"/>
        <v>217</v>
      </c>
      <c r="EI640" s="1476"/>
      <c r="EJ640" s="1476"/>
      <c r="EK640" s="1476"/>
      <c r="EL640" s="1476"/>
      <c r="EM640" s="1476" t="e">
        <f t="shared" si="26"/>
        <v>#VALUE!</v>
      </c>
      <c r="EN640" s="1476"/>
      <c r="EO640" s="1476"/>
      <c r="EP640" s="1476"/>
      <c r="EQ640" s="1476"/>
      <c r="ER640" s="1476" t="e">
        <f t="shared" si="27"/>
        <v>#VALUE!</v>
      </c>
      <c r="ES640" s="1476"/>
      <c r="ET640" s="1476"/>
      <c r="EU640" s="1476"/>
      <c r="EV640" s="1476"/>
      <c r="EW640" s="1476" t="e">
        <f t="shared" si="28"/>
        <v>#VALUE!</v>
      </c>
      <c r="EX640" s="1476"/>
      <c r="EY640" s="1476"/>
      <c r="EZ640" s="1476"/>
      <c r="FA640" s="1476"/>
    </row>
    <row r="641" spans="1:157" ht="13.05" customHeight="1">
      <c r="B641" s="1805" t="s">
        <v>269</v>
      </c>
      <c r="C641" s="1624"/>
      <c r="D641" s="1624"/>
      <c r="E641" s="1624"/>
      <c r="F641" s="1624"/>
      <c r="G641" s="1624"/>
      <c r="H641" s="1624"/>
      <c r="I641" s="1624"/>
      <c r="J641" s="1624"/>
      <c r="K641" s="1624"/>
      <c r="L641" s="1624"/>
      <c r="M641" s="1624"/>
      <c r="N641" s="1624"/>
      <c r="O641" s="1624"/>
      <c r="P641" s="1624"/>
      <c r="Q641" s="1624"/>
      <c r="R641" s="1624"/>
      <c r="S641" s="1624"/>
      <c r="T641" s="1624"/>
      <c r="U641" s="1624"/>
      <c r="V641" s="1624"/>
      <c r="W641" s="1624"/>
      <c r="X641" s="1624"/>
      <c r="Y641" s="1624"/>
      <c r="Z641" s="1624"/>
      <c r="AA641" s="1624"/>
      <c r="AB641" s="1624"/>
      <c r="AC641" s="1624"/>
      <c r="AD641" s="1624"/>
      <c r="AE641" s="1624"/>
      <c r="AF641" s="1624"/>
      <c r="AG641" s="1624"/>
      <c r="AH641" s="1624"/>
      <c r="AI641" s="1624"/>
      <c r="AJ641" s="1624"/>
      <c r="AK641" s="1624"/>
      <c r="AL641" s="1624"/>
      <c r="AM641" s="1624"/>
      <c r="AN641" s="1806"/>
      <c r="AO641" s="1632">
        <f>AO639+AO640</f>
        <v>87154721</v>
      </c>
      <c r="AP641" s="1633"/>
      <c r="AQ641" s="1633"/>
      <c r="AR641" s="1633"/>
      <c r="AS641" s="1634"/>
      <c r="AV641" s="3"/>
      <c r="AW641" s="3"/>
      <c r="AX641" s="3"/>
      <c r="AY641" s="3"/>
      <c r="AZ641" s="34"/>
      <c r="BA641" s="34"/>
      <c r="BB641" s="34"/>
      <c r="BC641" s="34"/>
      <c r="BD641" s="34"/>
      <c r="BE641" s="34"/>
      <c r="BF641" s="34"/>
      <c r="BG641" s="34"/>
      <c r="BH641" s="34"/>
      <c r="BI641" s="34"/>
      <c r="BJ641" s="34"/>
      <c r="BK641" s="34"/>
      <c r="BL641" s="34"/>
      <c r="BM641" s="34"/>
      <c r="BN641" s="1671">
        <f>SUM(BN637:BR640)</f>
        <v>0</v>
      </c>
      <c r="BO641" s="1672"/>
      <c r="BP641" s="1672"/>
      <c r="BQ641" s="1672"/>
      <c r="BR641" s="1673"/>
      <c r="BS641" s="1492">
        <f>SUM(BS637:BW640)</f>
        <v>0</v>
      </c>
      <c r="BT641" s="1493"/>
      <c r="BU641" s="1493"/>
      <c r="BV641" s="1493"/>
      <c r="BW641" s="1494"/>
      <c r="BX641" s="1492">
        <f>SUM(BX637:CB640)</f>
        <v>0</v>
      </c>
      <c r="BY641" s="1493"/>
      <c r="BZ641" s="1493"/>
      <c r="CA641" s="1493"/>
      <c r="CB641" s="1494"/>
      <c r="CC641" s="1492">
        <f>SUM(CC637:CG640)</f>
        <v>1</v>
      </c>
      <c r="CD641" s="1493"/>
      <c r="CE641" s="1493"/>
      <c r="CF641" s="1493"/>
      <c r="CG641" s="1494"/>
      <c r="CH641" s="1492">
        <f>SUM(CH637:CL640)</f>
        <v>0</v>
      </c>
      <c r="CI641" s="1493"/>
      <c r="CJ641" s="1493"/>
      <c r="CK641" s="1493"/>
      <c r="CL641" s="1494"/>
      <c r="CM641" s="1492">
        <f>SUM(CM637:CQ640)</f>
        <v>0</v>
      </c>
      <c r="CN641" s="1493"/>
      <c r="CO641" s="1493"/>
      <c r="CP641" s="1493"/>
      <c r="CQ641" s="1494"/>
      <c r="CS641" s="895">
        <f>BN641+BS641+BX641+CC641+CH641+CM641</f>
        <v>1</v>
      </c>
      <c r="CT641" s="57" t="s">
        <v>2048</v>
      </c>
      <c r="CU641" s="3"/>
      <c r="CV641" s="3"/>
      <c r="CW641" s="3"/>
      <c r="CX641" s="3"/>
      <c r="CY641" s="3"/>
      <c r="CZ641" s="3"/>
      <c r="DA641" s="3"/>
      <c r="DB641" s="3"/>
      <c r="DC641" s="3"/>
      <c r="DD641" s="3"/>
      <c r="DE641" s="3"/>
      <c r="DF641" s="3"/>
      <c r="DX641" s="1476" t="e">
        <f t="shared" si="29"/>
        <v>#VALUE!</v>
      </c>
      <c r="DY641" s="1476"/>
      <c r="DZ641" s="1476"/>
      <c r="EA641" s="1476"/>
      <c r="EB641" s="1476"/>
      <c r="EC641" s="1476" t="e">
        <f t="shared" si="24"/>
        <v>#VALUE!</v>
      </c>
      <c r="ED641" s="1476"/>
      <c r="EE641" s="1476"/>
      <c r="EF641" s="1476"/>
      <c r="EG641" s="1476"/>
      <c r="EH641" s="1476" t="e">
        <f t="shared" si="25"/>
        <v>#VALUE!</v>
      </c>
      <c r="EI641" s="1476"/>
      <c r="EJ641" s="1476"/>
      <c r="EK641" s="1476"/>
      <c r="EL641" s="1476"/>
      <c r="EM641" s="1476">
        <f t="shared" si="26"/>
        <v>2250.7894736842104</v>
      </c>
      <c r="EN641" s="1476"/>
      <c r="EO641" s="1476"/>
      <c r="EP641" s="1476"/>
      <c r="EQ641" s="1476"/>
      <c r="ER641" s="1476" t="e">
        <f t="shared" si="27"/>
        <v>#VALUE!</v>
      </c>
      <c r="ES641" s="1476"/>
      <c r="ET641" s="1476"/>
      <c r="EU641" s="1476"/>
      <c r="EV641" s="1476"/>
      <c r="EW641" s="1476" t="e">
        <f t="shared" si="28"/>
        <v>#VALUE!</v>
      </c>
      <c r="EX641" s="1476"/>
      <c r="EY641" s="1476"/>
      <c r="EZ641" s="1476"/>
      <c r="FA641" s="1476"/>
    </row>
    <row r="642" spans="1:157" ht="13.0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2050</v>
      </c>
      <c r="CU642" s="3"/>
      <c r="CV642" s="3"/>
      <c r="CW642" s="3"/>
      <c r="CX642" s="3"/>
      <c r="CY642" s="3"/>
      <c r="CZ642" s="3"/>
      <c r="DA642" s="3"/>
      <c r="DB642" s="3"/>
      <c r="DC642" s="3"/>
      <c r="DD642" s="3"/>
      <c r="DE642" s="3"/>
      <c r="DF642" s="3"/>
      <c r="DX642" s="1476" t="e">
        <f t="shared" si="29"/>
        <v>#VALUE!</v>
      </c>
      <c r="DY642" s="1476"/>
      <c r="DZ642" s="1476"/>
      <c r="EA642" s="1476"/>
      <c r="EB642" s="1476"/>
      <c r="EC642" s="1476" t="e">
        <f t="shared" si="24"/>
        <v>#VALUE!</v>
      </c>
      <c r="ED642" s="1476"/>
      <c r="EE642" s="1476"/>
      <c r="EF642" s="1476"/>
      <c r="EG642" s="1476"/>
      <c r="EH642" s="1476" t="e">
        <f t="shared" si="25"/>
        <v>#VALUE!</v>
      </c>
      <c r="EI642" s="1476"/>
      <c r="EJ642" s="1476"/>
      <c r="EK642" s="1476"/>
      <c r="EL642" s="1476"/>
      <c r="EM642" s="1476">
        <f t="shared" si="26"/>
        <v>171.86842105263156</v>
      </c>
      <c r="EN642" s="1476"/>
      <c r="EO642" s="1476"/>
      <c r="EP642" s="1476"/>
      <c r="EQ642" s="1476"/>
      <c r="ER642" s="1476" t="e">
        <f t="shared" si="27"/>
        <v>#VALUE!</v>
      </c>
      <c r="ES642" s="1476"/>
      <c r="ET642" s="1476"/>
      <c r="EU642" s="1476"/>
      <c r="EV642" s="1476"/>
      <c r="EW642" s="1476" t="e">
        <f t="shared" si="28"/>
        <v>#VALUE!</v>
      </c>
      <c r="EX642" s="1476"/>
      <c r="EY642" s="1476"/>
      <c r="EZ642" s="1476"/>
      <c r="FA642" s="1476"/>
    </row>
    <row r="643" spans="1:157" ht="13.05" customHeight="1">
      <c r="A643" s="55" t="s">
        <v>112</v>
      </c>
      <c r="B643" t="s">
        <v>471</v>
      </c>
      <c r="G643" s="1417" t="str">
        <f>C627</f>
        <v xml:space="preserve">Citibank Permanent Loan </v>
      </c>
      <c r="H643" s="1417"/>
      <c r="I643" s="1417"/>
      <c r="J643" s="1417"/>
      <c r="K643" s="1417"/>
      <c r="L643" s="1417"/>
      <c r="M643" s="1417"/>
      <c r="N643" s="1417"/>
      <c r="O643" s="1417"/>
      <c r="P643" s="1417"/>
      <c r="Q643" s="1417"/>
      <c r="R643" s="1417"/>
      <c r="S643" s="8"/>
      <c r="T643" s="55" t="s">
        <v>113</v>
      </c>
      <c r="U643" t="s">
        <v>471</v>
      </c>
      <c r="Z643" s="1417" t="str">
        <f>C628</f>
        <v>Deferred Developer Fee</v>
      </c>
      <c r="AA643" s="1417"/>
      <c r="AB643" s="1417"/>
      <c r="AC643" s="1417"/>
      <c r="AD643" s="1417"/>
      <c r="AE643" s="1417"/>
      <c r="AF643" s="1417"/>
      <c r="AG643" s="1417"/>
      <c r="AH643" s="1417"/>
      <c r="AI643" s="1417"/>
      <c r="AJ643" s="1417"/>
      <c r="AK643" s="141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6" t="e">
        <f t="shared" si="29"/>
        <v>#VALUE!</v>
      </c>
      <c r="DY643" s="1476"/>
      <c r="DZ643" s="1476"/>
      <c r="EA643" s="1476"/>
      <c r="EB643" s="1476"/>
      <c r="EC643" s="1476" t="e">
        <f t="shared" si="24"/>
        <v>#VALUE!</v>
      </c>
      <c r="ED643" s="1476"/>
      <c r="EE643" s="1476"/>
      <c r="EF643" s="1476"/>
      <c r="EG643" s="1476"/>
      <c r="EH643" s="1476" t="e">
        <f t="shared" si="25"/>
        <v>#VALUE!</v>
      </c>
      <c r="EI643" s="1476"/>
      <c r="EJ643" s="1476"/>
      <c r="EK643" s="1476"/>
      <c r="EL643" s="1476"/>
      <c r="EM643" s="1476">
        <f t="shared" si="26"/>
        <v>57.28947368421052</v>
      </c>
      <c r="EN643" s="1476"/>
      <c r="EO643" s="1476"/>
      <c r="EP643" s="1476"/>
      <c r="EQ643" s="1476"/>
      <c r="ER643" s="1476" t="e">
        <f t="shared" si="27"/>
        <v>#VALUE!</v>
      </c>
      <c r="ES643" s="1476"/>
      <c r="ET643" s="1476"/>
      <c r="EU643" s="1476"/>
      <c r="EV643" s="1476"/>
      <c r="EW643" s="1476" t="e">
        <f t="shared" si="28"/>
        <v>#VALUE!</v>
      </c>
      <c r="EX643" s="1476"/>
      <c r="EY643" s="1476"/>
      <c r="EZ643" s="1476"/>
      <c r="FA643" s="1476"/>
    </row>
    <row r="644" spans="1:157" ht="13.05" customHeight="1">
      <c r="A644" s="22"/>
      <c r="B644" t="s">
        <v>85</v>
      </c>
      <c r="G644" s="1416" t="s">
        <v>2698</v>
      </c>
      <c r="H644" s="1416"/>
      <c r="I644" s="1416"/>
      <c r="J644" s="1416"/>
      <c r="K644" s="1416"/>
      <c r="L644" s="1416"/>
      <c r="M644" s="1416"/>
      <c r="N644" s="1416"/>
      <c r="O644" s="1416"/>
      <c r="P644" s="1416"/>
      <c r="Q644" s="1416"/>
      <c r="R644" s="1416"/>
      <c r="S644" s="8"/>
      <c r="T644" s="22"/>
      <c r="U644" t="s">
        <v>85</v>
      </c>
      <c r="Z644" s="1432" t="s">
        <v>2703</v>
      </c>
      <c r="AA644" s="1416"/>
      <c r="AB644" s="1416"/>
      <c r="AC644" s="1416"/>
      <c r="AD644" s="1416"/>
      <c r="AE644" s="1416"/>
      <c r="AF644" s="1416"/>
      <c r="AG644" s="1416"/>
      <c r="AH644" s="1416"/>
      <c r="AI644" s="1416"/>
      <c r="AJ644" s="1416"/>
      <c r="AK644" s="141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476" t="e">
        <f t="shared" si="29"/>
        <v>#VALUE!</v>
      </c>
      <c r="DY644" s="1476"/>
      <c r="DZ644" s="1476"/>
      <c r="EA644" s="1476"/>
      <c r="EB644" s="1476"/>
      <c r="EC644" s="1476" t="e">
        <f t="shared" si="24"/>
        <v>#VALUE!</v>
      </c>
      <c r="ED644" s="1476"/>
      <c r="EE644" s="1476"/>
      <c r="EF644" s="1476"/>
      <c r="EG644" s="1476"/>
      <c r="EH644" s="1476" t="e">
        <f t="shared" si="25"/>
        <v>#VALUE!</v>
      </c>
      <c r="EI644" s="1476"/>
      <c r="EJ644" s="1476"/>
      <c r="EK644" s="1476"/>
      <c r="EL644" s="1476"/>
      <c r="EM644" s="1476">
        <f t="shared" si="26"/>
        <v>130</v>
      </c>
      <c r="EN644" s="1476"/>
      <c r="EO644" s="1476"/>
      <c r="EP644" s="1476"/>
      <c r="EQ644" s="1476"/>
      <c r="ER644" s="1476" t="e">
        <f t="shared" si="27"/>
        <v>#VALUE!</v>
      </c>
      <c r="ES644" s="1476"/>
      <c r="ET644" s="1476"/>
      <c r="EU644" s="1476"/>
      <c r="EV644" s="1476"/>
      <c r="EW644" s="1476" t="e">
        <f t="shared" si="28"/>
        <v>#VALUE!</v>
      </c>
      <c r="EX644" s="1476"/>
      <c r="EY644" s="1476"/>
      <c r="EZ644" s="1476"/>
      <c r="FA644" s="1476"/>
    </row>
    <row r="645" spans="1:157" ht="13.05" customHeight="1">
      <c r="A645" s="22"/>
      <c r="B645" t="s">
        <v>588</v>
      </c>
      <c r="G645" s="1416" t="s">
        <v>2699</v>
      </c>
      <c r="H645" s="1416"/>
      <c r="I645" s="1416"/>
      <c r="J645" s="1416"/>
      <c r="K645" s="1416"/>
      <c r="L645" s="1416"/>
      <c r="M645" s="1416"/>
      <c r="N645" s="1416"/>
      <c r="O645" s="1416"/>
      <c r="P645" s="1416"/>
      <c r="Q645" s="1416"/>
      <c r="R645" s="1416"/>
      <c r="T645" s="22"/>
      <c r="U645" t="s">
        <v>588</v>
      </c>
      <c r="Z645" s="1410" t="s">
        <v>2650</v>
      </c>
      <c r="AA645" s="1411"/>
      <c r="AB645" s="1411"/>
      <c r="AC645" s="1411"/>
      <c r="AD645" s="1411"/>
      <c r="AE645" s="1411"/>
      <c r="AF645" s="1411"/>
      <c r="AG645" s="1411"/>
      <c r="AH645" s="1411"/>
      <c r="AI645" s="1411"/>
      <c r="AJ645" s="1411"/>
      <c r="AK645" s="1411"/>
      <c r="AV645" s="3"/>
      <c r="AW645" s="3"/>
      <c r="AX645" s="3"/>
      <c r="AY645" s="3"/>
      <c r="AZ645" s="3"/>
      <c r="BA645" s="3"/>
      <c r="BB645" s="3"/>
      <c r="BC645" s="3"/>
      <c r="BD645" s="3"/>
      <c r="BE645" s="3"/>
      <c r="BF645" s="3"/>
      <c r="BG645" s="3"/>
      <c r="BH645" s="3"/>
      <c r="BI645" s="3"/>
      <c r="BJ645" s="3"/>
      <c r="BK645" s="3"/>
      <c r="BL645" s="3"/>
      <c r="BM645" s="3"/>
      <c r="BN645" s="1479">
        <f t="shared" ref="BN645:BN654" si="30">IF(J787="SRO/Studio",O787,0)</f>
        <v>0</v>
      </c>
      <c r="BO645" s="1480"/>
      <c r="BP645" s="1480"/>
      <c r="BQ645" s="1480"/>
      <c r="BR645" s="1481"/>
      <c r="BS645" s="1478">
        <f t="shared" ref="BS645:BS654" si="31">IF(J787="1 Bedroom",O787,0)</f>
        <v>0</v>
      </c>
      <c r="BT645" s="1478"/>
      <c r="BU645" s="1478"/>
      <c r="BV645" s="1478"/>
      <c r="BW645" s="1478"/>
      <c r="BX645" s="1478">
        <f t="shared" ref="BX645:BX654" si="32">IF(J787="2 Bedrooms",O787,0)</f>
        <v>0</v>
      </c>
      <c r="BY645" s="1478"/>
      <c r="BZ645" s="1478"/>
      <c r="CA645" s="1478"/>
      <c r="CB645" s="1478"/>
      <c r="CC645" s="1478">
        <f t="shared" ref="CC645:CC654" si="33">IF(J787="3 Bedrooms",O787,0)</f>
        <v>0</v>
      </c>
      <c r="CD645" s="1478"/>
      <c r="CE645" s="1478"/>
      <c r="CF645" s="1478"/>
      <c r="CG645" s="1478"/>
      <c r="CH645" s="1478">
        <f t="shared" ref="CH645:CH654" si="34">IF(J787="4 Bedrooms",O787,0)</f>
        <v>0</v>
      </c>
      <c r="CI645" s="1478"/>
      <c r="CJ645" s="1478"/>
      <c r="CK645" s="1478"/>
      <c r="CL645" s="1478"/>
      <c r="CM645" s="1478">
        <f t="shared" ref="CM645:CM654" si="35">IF(J787="5 Bedrooms",O787,0)</f>
        <v>0</v>
      </c>
      <c r="CN645" s="1478"/>
      <c r="CO645" s="1478"/>
      <c r="CP645" s="1478"/>
      <c r="CQ645" s="1478"/>
      <c r="CR645" s="6"/>
      <c r="CS645" s="1479">
        <f t="shared" ref="CS645:CS654" si="36">IF(AND(BN645&gt;=1,AH787&gt;=0.1,AH787&lt;=1),O787,0)</f>
        <v>0</v>
      </c>
      <c r="CT645" s="1480"/>
      <c r="CU645" s="1480"/>
      <c r="CV645" s="1480"/>
      <c r="CW645" s="1481"/>
      <c r="CX645" s="1479">
        <f t="shared" ref="CX645:CX654" si="37">IF(AND(BS645&gt;=1,AH787&gt;=0.1,AH787&lt;=1),O787,0)</f>
        <v>0</v>
      </c>
      <c r="CY645" s="1480"/>
      <c r="CZ645" s="1480"/>
      <c r="DA645" s="1480"/>
      <c r="DB645" s="1481"/>
      <c r="DC645" s="1479">
        <f t="shared" ref="DC645:DC654" si="38">IF(AND(BX645&gt;=1,AH787&gt;=0.1,AH787&lt;=1),O787,0)</f>
        <v>0</v>
      </c>
      <c r="DD645" s="1480"/>
      <c r="DE645" s="1480"/>
      <c r="DF645" s="1480"/>
      <c r="DG645" s="1481"/>
      <c r="DH645" s="1479">
        <f t="shared" ref="DH645:DH654" si="39">IF(AND(CC645&gt;=1,AH787&gt;=0.1,AH787&lt;=1),O787,0)</f>
        <v>0</v>
      </c>
      <c r="DI645" s="1480"/>
      <c r="DJ645" s="1480"/>
      <c r="DK645" s="1480"/>
      <c r="DL645" s="1481"/>
      <c r="DM645" s="1479">
        <f t="shared" ref="DM645:DM654" si="40">IF(AND(CH645&gt;=1,AH787&gt;=0.1,AH787&lt;=1),O787,0)</f>
        <v>0</v>
      </c>
      <c r="DN645" s="1480"/>
      <c r="DO645" s="1480"/>
      <c r="DP645" s="1480"/>
      <c r="DQ645" s="1481"/>
      <c r="DR645" s="1479">
        <f t="shared" ref="DR645:DR654" si="41">IF(AND(CM645&gt;=1,AH787&gt;=0.1,AH787&lt;=1),O787,0)</f>
        <v>0</v>
      </c>
      <c r="DS645" s="1480"/>
      <c r="DT645" s="1480"/>
      <c r="DU645" s="1480"/>
      <c r="DV645" s="1481"/>
      <c r="DX645" s="1476" t="e">
        <f t="shared" si="29"/>
        <v>#VALUE!</v>
      </c>
      <c r="DY645" s="1476"/>
      <c r="DZ645" s="1476"/>
      <c r="EA645" s="1476"/>
      <c r="EB645" s="1476"/>
      <c r="EC645" s="1476" t="e">
        <f t="shared" si="24"/>
        <v>#VALUE!</v>
      </c>
      <c r="ED645" s="1476"/>
      <c r="EE645" s="1476"/>
      <c r="EF645" s="1476"/>
      <c r="EG645" s="1476"/>
      <c r="EH645" s="1476" t="e">
        <f t="shared" si="25"/>
        <v>#VALUE!</v>
      </c>
      <c r="EI645" s="1476"/>
      <c r="EJ645" s="1476"/>
      <c r="EK645" s="1476"/>
      <c r="EL645" s="1476"/>
      <c r="EM645" s="1476" t="e">
        <f t="shared" si="26"/>
        <v>#VALUE!</v>
      </c>
      <c r="EN645" s="1476"/>
      <c r="EO645" s="1476"/>
      <c r="EP645" s="1476"/>
      <c r="EQ645" s="1476"/>
      <c r="ER645" s="1476" t="e">
        <f t="shared" si="27"/>
        <v>#VALUE!</v>
      </c>
      <c r="ES645" s="1476"/>
      <c r="ET645" s="1476"/>
      <c r="EU645" s="1476"/>
      <c r="EV645" s="1476"/>
      <c r="EW645" s="1476" t="e">
        <f t="shared" si="28"/>
        <v>#VALUE!</v>
      </c>
      <c r="EX645" s="1476"/>
      <c r="EY645" s="1476"/>
      <c r="EZ645" s="1476"/>
      <c r="FA645" s="1476"/>
    </row>
    <row r="646" spans="1:157" ht="13.05" customHeight="1">
      <c r="A646" s="22"/>
      <c r="B646" t="s">
        <v>17</v>
      </c>
      <c r="G646" s="1416" t="s">
        <v>2700</v>
      </c>
      <c r="H646" s="1416"/>
      <c r="I646" s="1416"/>
      <c r="J646" s="1416"/>
      <c r="K646" s="1416"/>
      <c r="L646" s="1416"/>
      <c r="M646" s="1416"/>
      <c r="N646" s="1416"/>
      <c r="O646" s="1416"/>
      <c r="P646" s="1416"/>
      <c r="Q646" s="1416"/>
      <c r="R646" s="1416"/>
      <c r="S646" s="8"/>
      <c r="T646" s="22"/>
      <c r="U646" t="s">
        <v>17</v>
      </c>
      <c r="Z646" s="1410" t="s">
        <v>2690</v>
      </c>
      <c r="AA646" s="1411"/>
      <c r="AB646" s="1411"/>
      <c r="AC646" s="1411"/>
      <c r="AD646" s="1411"/>
      <c r="AE646" s="1411"/>
      <c r="AF646" s="1411"/>
      <c r="AG646" s="1411"/>
      <c r="AH646" s="1411"/>
      <c r="AI646" s="1411"/>
      <c r="AJ646" s="1411"/>
      <c r="AK646" s="1411"/>
      <c r="AZ646" s="3"/>
      <c r="BA646" s="3"/>
      <c r="BB646" s="3"/>
      <c r="BC646" s="3"/>
      <c r="BD646" s="3"/>
      <c r="BE646" s="3"/>
      <c r="BF646" s="3"/>
      <c r="BG646" s="3"/>
      <c r="BH646" s="3"/>
      <c r="BI646" s="3"/>
      <c r="BJ646" s="3"/>
      <c r="BK646" s="3"/>
      <c r="BL646" s="3"/>
      <c r="BM646" s="3"/>
      <c r="BN646" s="1479">
        <f t="shared" si="30"/>
        <v>0</v>
      </c>
      <c r="BO646" s="1480"/>
      <c r="BP646" s="1480"/>
      <c r="BQ646" s="1480"/>
      <c r="BR646" s="1481"/>
      <c r="BS646" s="1478">
        <f t="shared" si="31"/>
        <v>0</v>
      </c>
      <c r="BT646" s="1478"/>
      <c r="BU646" s="1478"/>
      <c r="BV646" s="1478"/>
      <c r="BW646" s="1478"/>
      <c r="BX646" s="1478">
        <f t="shared" si="32"/>
        <v>0</v>
      </c>
      <c r="BY646" s="1478"/>
      <c r="BZ646" s="1478"/>
      <c r="CA646" s="1478"/>
      <c r="CB646" s="1478"/>
      <c r="CC646" s="1478">
        <f t="shared" si="33"/>
        <v>0</v>
      </c>
      <c r="CD646" s="1478"/>
      <c r="CE646" s="1478"/>
      <c r="CF646" s="1478"/>
      <c r="CG646" s="1478"/>
      <c r="CH646" s="1478">
        <f t="shared" si="34"/>
        <v>0</v>
      </c>
      <c r="CI646" s="1478"/>
      <c r="CJ646" s="1478"/>
      <c r="CK646" s="1478"/>
      <c r="CL646" s="1478"/>
      <c r="CM646" s="1478">
        <f t="shared" si="35"/>
        <v>0</v>
      </c>
      <c r="CN646" s="1478"/>
      <c r="CO646" s="1478"/>
      <c r="CP646" s="1478"/>
      <c r="CQ646" s="1478"/>
      <c r="CR646" s="6"/>
      <c r="CS646" s="1479">
        <f t="shared" si="36"/>
        <v>0</v>
      </c>
      <c r="CT646" s="1480"/>
      <c r="CU646" s="1480"/>
      <c r="CV646" s="1480"/>
      <c r="CW646" s="1481"/>
      <c r="CX646" s="1479">
        <f t="shared" si="37"/>
        <v>0</v>
      </c>
      <c r="CY646" s="1480"/>
      <c r="CZ646" s="1480"/>
      <c r="DA646" s="1480"/>
      <c r="DB646" s="1481"/>
      <c r="DC646" s="1479">
        <f t="shared" si="38"/>
        <v>0</v>
      </c>
      <c r="DD646" s="1480"/>
      <c r="DE646" s="1480"/>
      <c r="DF646" s="1480"/>
      <c r="DG646" s="1481"/>
      <c r="DH646" s="1479">
        <f t="shared" si="39"/>
        <v>0</v>
      </c>
      <c r="DI646" s="1480"/>
      <c r="DJ646" s="1480"/>
      <c r="DK646" s="1480"/>
      <c r="DL646" s="1481"/>
      <c r="DM646" s="1479">
        <f t="shared" si="40"/>
        <v>0</v>
      </c>
      <c r="DN646" s="1480"/>
      <c r="DO646" s="1480"/>
      <c r="DP646" s="1480"/>
      <c r="DQ646" s="1481"/>
      <c r="DR646" s="1479">
        <f t="shared" si="41"/>
        <v>0</v>
      </c>
      <c r="DS646" s="1480"/>
      <c r="DT646" s="1480"/>
      <c r="DU646" s="1480"/>
      <c r="DV646" s="1481"/>
      <c r="DX646" s="1476" t="e">
        <f t="shared" si="29"/>
        <v>#VALUE!</v>
      </c>
      <c r="DY646" s="1476"/>
      <c r="DZ646" s="1476"/>
      <c r="EA646" s="1476"/>
      <c r="EB646" s="1476"/>
      <c r="EC646" s="1476" t="e">
        <f t="shared" si="24"/>
        <v>#VALUE!</v>
      </c>
      <c r="ED646" s="1476"/>
      <c r="EE646" s="1476"/>
      <c r="EF646" s="1476"/>
      <c r="EG646" s="1476"/>
      <c r="EH646" s="1476" t="e">
        <f t="shared" si="25"/>
        <v>#VALUE!</v>
      </c>
      <c r="EI646" s="1476"/>
      <c r="EJ646" s="1476"/>
      <c r="EK646" s="1476"/>
      <c r="EL646" s="1476"/>
      <c r="EM646" s="1476" t="e">
        <f t="shared" si="26"/>
        <v>#VALUE!</v>
      </c>
      <c r="EN646" s="1476"/>
      <c r="EO646" s="1476"/>
      <c r="EP646" s="1476"/>
      <c r="EQ646" s="1476"/>
      <c r="ER646" s="1476" t="e">
        <f t="shared" si="27"/>
        <v>#VALUE!</v>
      </c>
      <c r="ES646" s="1476"/>
      <c r="ET646" s="1476"/>
      <c r="EU646" s="1476"/>
      <c r="EV646" s="1476"/>
      <c r="EW646" s="1476" t="e">
        <f t="shared" si="28"/>
        <v>#VALUE!</v>
      </c>
      <c r="EX646" s="1476"/>
      <c r="EY646" s="1476"/>
      <c r="EZ646" s="1476"/>
      <c r="FA646" s="1476"/>
    </row>
    <row r="647" spans="1:157" ht="13.05" customHeight="1">
      <c r="A647" s="22"/>
      <c r="B647" t="s">
        <v>317</v>
      </c>
      <c r="G647" s="1477">
        <v>2122391914</v>
      </c>
      <c r="H647" s="1477"/>
      <c r="I647" s="1477"/>
      <c r="J647" s="1477"/>
      <c r="K647" s="1477"/>
      <c r="L647" s="1477"/>
      <c r="O647" s="33" t="s">
        <v>207</v>
      </c>
      <c r="P647" s="1441"/>
      <c r="Q647" s="1441"/>
      <c r="R647" s="1441"/>
      <c r="S647" s="10"/>
      <c r="T647" s="22"/>
      <c r="U647" t="s">
        <v>317</v>
      </c>
      <c r="Z647" s="1635" t="s">
        <v>2646</v>
      </c>
      <c r="AA647" s="1477"/>
      <c r="AB647" s="1477"/>
      <c r="AC647" s="1477"/>
      <c r="AD647" s="1477"/>
      <c r="AE647" s="1477"/>
      <c r="AH647" s="33" t="s">
        <v>207</v>
      </c>
      <c r="AI647" s="1441"/>
      <c r="AJ647" s="1441"/>
      <c r="AK647" s="1441"/>
      <c r="AZ647" s="34"/>
      <c r="BA647" s="34"/>
      <c r="BB647" s="34"/>
      <c r="BC647" s="34"/>
      <c r="BD647" s="34"/>
      <c r="BE647" s="34"/>
      <c r="BF647" s="34"/>
      <c r="BG647" s="34"/>
      <c r="BH647" s="34"/>
      <c r="BI647" s="34"/>
      <c r="BJ647" s="34"/>
      <c r="BK647" s="34"/>
      <c r="BL647" s="34"/>
      <c r="BM647" s="34"/>
      <c r="BN647" s="1479">
        <f t="shared" si="30"/>
        <v>0</v>
      </c>
      <c r="BO647" s="1480"/>
      <c r="BP647" s="1480"/>
      <c r="BQ647" s="1480"/>
      <c r="BR647" s="1481"/>
      <c r="BS647" s="1478">
        <f t="shared" si="31"/>
        <v>0</v>
      </c>
      <c r="BT647" s="1478"/>
      <c r="BU647" s="1478"/>
      <c r="BV647" s="1478"/>
      <c r="BW647" s="1478"/>
      <c r="BX647" s="1478">
        <f t="shared" si="32"/>
        <v>0</v>
      </c>
      <c r="BY647" s="1478"/>
      <c r="BZ647" s="1478"/>
      <c r="CA647" s="1478"/>
      <c r="CB647" s="1478"/>
      <c r="CC647" s="1478">
        <f t="shared" si="33"/>
        <v>0</v>
      </c>
      <c r="CD647" s="1478"/>
      <c r="CE647" s="1478"/>
      <c r="CF647" s="1478"/>
      <c r="CG647" s="1478"/>
      <c r="CH647" s="1478">
        <f t="shared" si="34"/>
        <v>0</v>
      </c>
      <c r="CI647" s="1478"/>
      <c r="CJ647" s="1478"/>
      <c r="CK647" s="1478"/>
      <c r="CL647" s="1478"/>
      <c r="CM647" s="1478">
        <f t="shared" si="35"/>
        <v>0</v>
      </c>
      <c r="CN647" s="1478"/>
      <c r="CO647" s="1478"/>
      <c r="CP647" s="1478"/>
      <c r="CQ647" s="1478"/>
      <c r="CR647" s="6"/>
      <c r="CS647" s="1479">
        <f t="shared" si="36"/>
        <v>0</v>
      </c>
      <c r="CT647" s="1480"/>
      <c r="CU647" s="1480"/>
      <c r="CV647" s="1480"/>
      <c r="CW647" s="1481"/>
      <c r="CX647" s="1479">
        <f t="shared" si="37"/>
        <v>0</v>
      </c>
      <c r="CY647" s="1480"/>
      <c r="CZ647" s="1480"/>
      <c r="DA647" s="1480"/>
      <c r="DB647" s="1481"/>
      <c r="DC647" s="1479">
        <f t="shared" si="38"/>
        <v>0</v>
      </c>
      <c r="DD647" s="1480"/>
      <c r="DE647" s="1480"/>
      <c r="DF647" s="1480"/>
      <c r="DG647" s="1481"/>
      <c r="DH647" s="1479">
        <f t="shared" si="39"/>
        <v>0</v>
      </c>
      <c r="DI647" s="1480"/>
      <c r="DJ647" s="1480"/>
      <c r="DK647" s="1480"/>
      <c r="DL647" s="1481"/>
      <c r="DM647" s="1479">
        <f t="shared" si="40"/>
        <v>0</v>
      </c>
      <c r="DN647" s="1480"/>
      <c r="DO647" s="1480"/>
      <c r="DP647" s="1480"/>
      <c r="DQ647" s="1481"/>
      <c r="DR647" s="1479">
        <f t="shared" si="41"/>
        <v>0</v>
      </c>
      <c r="DS647" s="1480"/>
      <c r="DT647" s="1480"/>
      <c r="DU647" s="1480"/>
      <c r="DV647" s="1481"/>
      <c r="DX647" s="1476" t="e">
        <f t="shared" si="29"/>
        <v>#VALUE!</v>
      </c>
      <c r="DY647" s="1476"/>
      <c r="DZ647" s="1476"/>
      <c r="EA647" s="1476"/>
      <c r="EB647" s="1476"/>
      <c r="EC647" s="1476" t="e">
        <f t="shared" si="24"/>
        <v>#VALUE!</v>
      </c>
      <c r="ED647" s="1476"/>
      <c r="EE647" s="1476"/>
      <c r="EF647" s="1476"/>
      <c r="EG647" s="1476"/>
      <c r="EH647" s="1476" t="e">
        <f t="shared" si="25"/>
        <v>#VALUE!</v>
      </c>
      <c r="EI647" s="1476"/>
      <c r="EJ647" s="1476"/>
      <c r="EK647" s="1476"/>
      <c r="EL647" s="1476"/>
      <c r="EM647" s="1476" t="e">
        <f t="shared" si="26"/>
        <v>#VALUE!</v>
      </c>
      <c r="EN647" s="1476"/>
      <c r="EO647" s="1476"/>
      <c r="EP647" s="1476"/>
      <c r="EQ647" s="1476"/>
      <c r="ER647" s="1476" t="e">
        <f t="shared" si="27"/>
        <v>#VALUE!</v>
      </c>
      <c r="ES647" s="1476"/>
      <c r="ET647" s="1476"/>
      <c r="EU647" s="1476"/>
      <c r="EV647" s="1476"/>
      <c r="EW647" s="1476" t="e">
        <f t="shared" si="28"/>
        <v>#VALUE!</v>
      </c>
      <c r="EX647" s="1476"/>
      <c r="EY647" s="1476"/>
      <c r="EZ647" s="1476"/>
      <c r="FA647" s="1476"/>
    </row>
    <row r="648" spans="1:157" ht="13.05" customHeight="1">
      <c r="A648" s="22"/>
      <c r="B648" t="s">
        <v>18</v>
      </c>
      <c r="H648" s="1432" t="s">
        <v>2759</v>
      </c>
      <c r="I648" s="1416"/>
      <c r="J648" s="1416"/>
      <c r="K648" s="1416"/>
      <c r="L648" s="1416"/>
      <c r="M648" s="1416"/>
      <c r="N648" s="1416"/>
      <c r="O648" s="1416"/>
      <c r="P648" s="1416"/>
      <c r="Q648" s="1416"/>
      <c r="R648" s="1416"/>
      <c r="S648" s="8"/>
      <c r="T648" s="22"/>
      <c r="U648" t="s">
        <v>18</v>
      </c>
      <c r="AA648" s="1416" t="s">
        <v>2705</v>
      </c>
      <c r="AB648" s="1416"/>
      <c r="AC648" s="1416"/>
      <c r="AD648" s="1416"/>
      <c r="AE648" s="1416"/>
      <c r="AF648" s="1416"/>
      <c r="AG648" s="1416"/>
      <c r="AH648" s="1416"/>
      <c r="AI648" s="1416"/>
      <c r="AJ648" s="1416"/>
      <c r="AK648" s="1416"/>
      <c r="AZ648" s="34"/>
      <c r="BA648" s="34"/>
      <c r="BB648" s="34"/>
      <c r="BC648" s="34"/>
      <c r="BD648" s="34"/>
      <c r="BE648" s="34"/>
      <c r="BF648" s="34"/>
      <c r="BG648" s="34"/>
      <c r="BH648" s="34"/>
      <c r="BI648" s="34"/>
      <c r="BJ648" s="34"/>
      <c r="BK648" s="34"/>
      <c r="BL648" s="34"/>
      <c r="BM648" s="34"/>
      <c r="BN648" s="1479">
        <f t="shared" si="30"/>
        <v>0</v>
      </c>
      <c r="BO648" s="1480"/>
      <c r="BP648" s="1480"/>
      <c r="BQ648" s="1480"/>
      <c r="BR648" s="1481"/>
      <c r="BS648" s="1478">
        <f t="shared" si="31"/>
        <v>0</v>
      </c>
      <c r="BT648" s="1478"/>
      <c r="BU648" s="1478"/>
      <c r="BV648" s="1478"/>
      <c r="BW648" s="1478"/>
      <c r="BX648" s="1478">
        <f t="shared" si="32"/>
        <v>0</v>
      </c>
      <c r="BY648" s="1478"/>
      <c r="BZ648" s="1478"/>
      <c r="CA648" s="1478"/>
      <c r="CB648" s="1478"/>
      <c r="CC648" s="1478">
        <f t="shared" si="33"/>
        <v>0</v>
      </c>
      <c r="CD648" s="1478"/>
      <c r="CE648" s="1478"/>
      <c r="CF648" s="1478"/>
      <c r="CG648" s="1478"/>
      <c r="CH648" s="1478">
        <f t="shared" si="34"/>
        <v>0</v>
      </c>
      <c r="CI648" s="1478"/>
      <c r="CJ648" s="1478"/>
      <c r="CK648" s="1478"/>
      <c r="CL648" s="1478"/>
      <c r="CM648" s="1478">
        <f t="shared" si="35"/>
        <v>0</v>
      </c>
      <c r="CN648" s="1478"/>
      <c r="CO648" s="1478"/>
      <c r="CP648" s="1478"/>
      <c r="CQ648" s="1478"/>
      <c r="CR648" s="6"/>
      <c r="CS648" s="1479">
        <f t="shared" si="36"/>
        <v>0</v>
      </c>
      <c r="CT648" s="1480"/>
      <c r="CU648" s="1480"/>
      <c r="CV648" s="1480"/>
      <c r="CW648" s="1481"/>
      <c r="CX648" s="1479">
        <f t="shared" si="37"/>
        <v>0</v>
      </c>
      <c r="CY648" s="1480"/>
      <c r="CZ648" s="1480"/>
      <c r="DA648" s="1480"/>
      <c r="DB648" s="1481"/>
      <c r="DC648" s="1479">
        <f t="shared" si="38"/>
        <v>0</v>
      </c>
      <c r="DD648" s="1480"/>
      <c r="DE648" s="1480"/>
      <c r="DF648" s="1480"/>
      <c r="DG648" s="1481"/>
      <c r="DH648" s="1479">
        <f t="shared" si="39"/>
        <v>0</v>
      </c>
      <c r="DI648" s="1480"/>
      <c r="DJ648" s="1480"/>
      <c r="DK648" s="1480"/>
      <c r="DL648" s="1481"/>
      <c r="DM648" s="1479">
        <f t="shared" si="40"/>
        <v>0</v>
      </c>
      <c r="DN648" s="1480"/>
      <c r="DO648" s="1480"/>
      <c r="DP648" s="1480"/>
      <c r="DQ648" s="1481"/>
      <c r="DR648" s="1479">
        <f t="shared" si="41"/>
        <v>0</v>
      </c>
      <c r="DS648" s="1480"/>
      <c r="DT648" s="1480"/>
      <c r="DU648" s="1480"/>
      <c r="DV648" s="1481"/>
      <c r="DX648" s="1476" t="e">
        <f t="shared" si="29"/>
        <v>#VALUE!</v>
      </c>
      <c r="DY648" s="1476"/>
      <c r="DZ648" s="1476"/>
      <c r="EA648" s="1476"/>
      <c r="EB648" s="1476"/>
      <c r="EC648" s="1476" t="e">
        <f t="shared" si="24"/>
        <v>#VALUE!</v>
      </c>
      <c r="ED648" s="1476"/>
      <c r="EE648" s="1476"/>
      <c r="EF648" s="1476"/>
      <c r="EG648" s="1476"/>
      <c r="EH648" s="1476" t="e">
        <f t="shared" si="25"/>
        <v>#VALUE!</v>
      </c>
      <c r="EI648" s="1476"/>
      <c r="EJ648" s="1476"/>
      <c r="EK648" s="1476"/>
      <c r="EL648" s="1476"/>
      <c r="EM648" s="1476" t="e">
        <f t="shared" si="26"/>
        <v>#VALUE!</v>
      </c>
      <c r="EN648" s="1476"/>
      <c r="EO648" s="1476"/>
      <c r="EP648" s="1476"/>
      <c r="EQ648" s="1476"/>
      <c r="ER648" s="1476" t="e">
        <f t="shared" si="27"/>
        <v>#VALUE!</v>
      </c>
      <c r="ES648" s="1476"/>
      <c r="ET648" s="1476"/>
      <c r="EU648" s="1476"/>
      <c r="EV648" s="1476"/>
      <c r="EW648" s="1476" t="e">
        <f t="shared" si="28"/>
        <v>#VALUE!</v>
      </c>
      <c r="EX648" s="1476"/>
      <c r="EY648" s="1476"/>
      <c r="EZ648" s="1476"/>
      <c r="FA648" s="1476"/>
    </row>
    <row r="649" spans="1:157" ht="13.05" customHeight="1">
      <c r="A649" s="22"/>
      <c r="B649" t="s">
        <v>20</v>
      </c>
      <c r="N649" s="1415" t="s">
        <v>553</v>
      </c>
      <c r="O649" s="1415"/>
      <c r="T649" s="22"/>
      <c r="U649" t="s">
        <v>20</v>
      </c>
      <c r="AG649" s="1415" t="s">
        <v>553</v>
      </c>
      <c r="AH649" s="1415"/>
      <c r="AZ649" s="34"/>
      <c r="BA649" s="34"/>
      <c r="BB649" s="34"/>
      <c r="BC649" s="34"/>
      <c r="BD649" s="34"/>
      <c r="BE649" s="34"/>
      <c r="BF649" s="34"/>
      <c r="BG649" s="34"/>
      <c r="BH649" s="34"/>
      <c r="BI649" s="34"/>
      <c r="BJ649" s="34"/>
      <c r="BK649" s="34"/>
      <c r="BL649" s="34"/>
      <c r="BM649" s="34"/>
      <c r="BN649" s="1479">
        <f t="shared" si="30"/>
        <v>0</v>
      </c>
      <c r="BO649" s="1480"/>
      <c r="BP649" s="1480"/>
      <c r="BQ649" s="1480"/>
      <c r="BR649" s="1481"/>
      <c r="BS649" s="1478">
        <f t="shared" si="31"/>
        <v>0</v>
      </c>
      <c r="BT649" s="1478"/>
      <c r="BU649" s="1478"/>
      <c r="BV649" s="1478"/>
      <c r="BW649" s="1478"/>
      <c r="BX649" s="1478">
        <f t="shared" si="32"/>
        <v>0</v>
      </c>
      <c r="BY649" s="1478"/>
      <c r="BZ649" s="1478"/>
      <c r="CA649" s="1478"/>
      <c r="CB649" s="1478"/>
      <c r="CC649" s="1478">
        <f t="shared" si="33"/>
        <v>0</v>
      </c>
      <c r="CD649" s="1478"/>
      <c r="CE649" s="1478"/>
      <c r="CF649" s="1478"/>
      <c r="CG649" s="1478"/>
      <c r="CH649" s="1478">
        <f t="shared" si="34"/>
        <v>0</v>
      </c>
      <c r="CI649" s="1478"/>
      <c r="CJ649" s="1478"/>
      <c r="CK649" s="1478"/>
      <c r="CL649" s="1478"/>
      <c r="CM649" s="1478">
        <f t="shared" si="35"/>
        <v>0</v>
      </c>
      <c r="CN649" s="1478"/>
      <c r="CO649" s="1478"/>
      <c r="CP649" s="1478"/>
      <c r="CQ649" s="1478"/>
      <c r="CR649" s="6"/>
      <c r="CS649" s="1479">
        <f t="shared" si="36"/>
        <v>0</v>
      </c>
      <c r="CT649" s="1480"/>
      <c r="CU649" s="1480"/>
      <c r="CV649" s="1480"/>
      <c r="CW649" s="1481"/>
      <c r="CX649" s="1479">
        <f t="shared" si="37"/>
        <v>0</v>
      </c>
      <c r="CY649" s="1480"/>
      <c r="CZ649" s="1480"/>
      <c r="DA649" s="1480"/>
      <c r="DB649" s="1481"/>
      <c r="DC649" s="1479">
        <f t="shared" si="38"/>
        <v>0</v>
      </c>
      <c r="DD649" s="1480"/>
      <c r="DE649" s="1480"/>
      <c r="DF649" s="1480"/>
      <c r="DG649" s="1481"/>
      <c r="DH649" s="1479">
        <f t="shared" si="39"/>
        <v>0</v>
      </c>
      <c r="DI649" s="1480"/>
      <c r="DJ649" s="1480"/>
      <c r="DK649" s="1480"/>
      <c r="DL649" s="1481"/>
      <c r="DM649" s="1479">
        <f t="shared" si="40"/>
        <v>0</v>
      </c>
      <c r="DN649" s="1480"/>
      <c r="DO649" s="1480"/>
      <c r="DP649" s="1480"/>
      <c r="DQ649" s="1481"/>
      <c r="DR649" s="1479">
        <f t="shared" si="41"/>
        <v>0</v>
      </c>
      <c r="DS649" s="1480"/>
      <c r="DT649" s="1480"/>
      <c r="DU649" s="1480"/>
      <c r="DV649" s="1481"/>
      <c r="DX649" s="1476" t="e">
        <f t="shared" si="29"/>
        <v>#VALUE!</v>
      </c>
      <c r="DY649" s="1476"/>
      <c r="DZ649" s="1476"/>
      <c r="EA649" s="1476"/>
      <c r="EB649" s="1476"/>
      <c r="EC649" s="1476" t="e">
        <f t="shared" si="24"/>
        <v>#VALUE!</v>
      </c>
      <c r="ED649" s="1476"/>
      <c r="EE649" s="1476"/>
      <c r="EF649" s="1476"/>
      <c r="EG649" s="1476"/>
      <c r="EH649" s="1476" t="e">
        <f t="shared" si="25"/>
        <v>#VALUE!</v>
      </c>
      <c r="EI649" s="1476"/>
      <c r="EJ649" s="1476"/>
      <c r="EK649" s="1476"/>
      <c r="EL649" s="1476"/>
      <c r="EM649" s="1476" t="e">
        <f t="shared" si="26"/>
        <v>#VALUE!</v>
      </c>
      <c r="EN649" s="1476"/>
      <c r="EO649" s="1476"/>
      <c r="EP649" s="1476"/>
      <c r="EQ649" s="1476"/>
      <c r="ER649" s="1476" t="e">
        <f t="shared" si="27"/>
        <v>#VALUE!</v>
      </c>
      <c r="ES649" s="1476"/>
      <c r="ET649" s="1476"/>
      <c r="EU649" s="1476"/>
      <c r="EV649" s="1476"/>
      <c r="EW649" s="1476" t="e">
        <f t="shared" si="28"/>
        <v>#VALUE!</v>
      </c>
      <c r="EX649" s="1476"/>
      <c r="EY649" s="1476"/>
      <c r="EZ649" s="1476"/>
      <c r="FA649" s="1476"/>
    </row>
    <row r="650" spans="1:157" ht="13.05" customHeight="1">
      <c r="A650" s="22"/>
      <c r="T650" s="22"/>
      <c r="AZ650" s="34"/>
      <c r="BA650" s="34"/>
      <c r="BB650" s="34"/>
      <c r="BC650" s="34"/>
      <c r="BD650" s="34"/>
      <c r="BE650" s="34"/>
      <c r="BF650" s="34"/>
      <c r="BG650" s="34"/>
      <c r="BH650" s="34"/>
      <c r="BI650" s="34"/>
      <c r="BJ650" s="34"/>
      <c r="BK650" s="34"/>
      <c r="BL650" s="34"/>
      <c r="BM650" s="34"/>
      <c r="BN650" s="1479">
        <f t="shared" si="30"/>
        <v>0</v>
      </c>
      <c r="BO650" s="1480"/>
      <c r="BP650" s="1480"/>
      <c r="BQ650" s="1480"/>
      <c r="BR650" s="1481"/>
      <c r="BS650" s="1478">
        <f t="shared" si="31"/>
        <v>0</v>
      </c>
      <c r="BT650" s="1478"/>
      <c r="BU650" s="1478"/>
      <c r="BV650" s="1478"/>
      <c r="BW650" s="1478"/>
      <c r="BX650" s="1478">
        <f t="shared" si="32"/>
        <v>0</v>
      </c>
      <c r="BY650" s="1478"/>
      <c r="BZ650" s="1478"/>
      <c r="CA650" s="1478"/>
      <c r="CB650" s="1478"/>
      <c r="CC650" s="1478">
        <f t="shared" si="33"/>
        <v>0</v>
      </c>
      <c r="CD650" s="1478"/>
      <c r="CE650" s="1478"/>
      <c r="CF650" s="1478"/>
      <c r="CG650" s="1478"/>
      <c r="CH650" s="1478">
        <f t="shared" si="34"/>
        <v>0</v>
      </c>
      <c r="CI650" s="1478"/>
      <c r="CJ650" s="1478"/>
      <c r="CK650" s="1478"/>
      <c r="CL650" s="1478"/>
      <c r="CM650" s="1478">
        <f t="shared" si="35"/>
        <v>0</v>
      </c>
      <c r="CN650" s="1478"/>
      <c r="CO650" s="1478"/>
      <c r="CP650" s="1478"/>
      <c r="CQ650" s="1478"/>
      <c r="CR650" s="6"/>
      <c r="CS650" s="1479">
        <f t="shared" si="36"/>
        <v>0</v>
      </c>
      <c r="CT650" s="1480"/>
      <c r="CU650" s="1480"/>
      <c r="CV650" s="1480"/>
      <c r="CW650" s="1481"/>
      <c r="CX650" s="1479">
        <f t="shared" si="37"/>
        <v>0</v>
      </c>
      <c r="CY650" s="1480"/>
      <c r="CZ650" s="1480"/>
      <c r="DA650" s="1480"/>
      <c r="DB650" s="1481"/>
      <c r="DC650" s="1479">
        <f t="shared" si="38"/>
        <v>0</v>
      </c>
      <c r="DD650" s="1480"/>
      <c r="DE650" s="1480"/>
      <c r="DF650" s="1480"/>
      <c r="DG650" s="1481"/>
      <c r="DH650" s="1479">
        <f t="shared" si="39"/>
        <v>0</v>
      </c>
      <c r="DI650" s="1480"/>
      <c r="DJ650" s="1480"/>
      <c r="DK650" s="1480"/>
      <c r="DL650" s="1481"/>
      <c r="DM650" s="1479">
        <f t="shared" si="40"/>
        <v>0</v>
      </c>
      <c r="DN650" s="1480"/>
      <c r="DO650" s="1480"/>
      <c r="DP650" s="1480"/>
      <c r="DQ650" s="1481"/>
      <c r="DR650" s="1479">
        <f t="shared" si="41"/>
        <v>0</v>
      </c>
      <c r="DS650" s="1480"/>
      <c r="DT650" s="1480"/>
      <c r="DU650" s="1480"/>
      <c r="DV650" s="1481"/>
      <c r="DX650" s="1476" t="e">
        <f t="shared" si="29"/>
        <v>#VALUE!</v>
      </c>
      <c r="DY650" s="1476"/>
      <c r="DZ650" s="1476"/>
      <c r="EA650" s="1476"/>
      <c r="EB650" s="1476"/>
      <c r="EC650" s="1476" t="e">
        <f t="shared" si="24"/>
        <v>#VALUE!</v>
      </c>
      <c r="ED650" s="1476"/>
      <c r="EE650" s="1476"/>
      <c r="EF650" s="1476"/>
      <c r="EG650" s="1476"/>
      <c r="EH650" s="1476" t="e">
        <f t="shared" si="25"/>
        <v>#VALUE!</v>
      </c>
      <c r="EI650" s="1476"/>
      <c r="EJ650" s="1476"/>
      <c r="EK650" s="1476"/>
      <c r="EL650" s="1476"/>
      <c r="EM650" s="1476" t="e">
        <f t="shared" si="26"/>
        <v>#VALUE!</v>
      </c>
      <c r="EN650" s="1476"/>
      <c r="EO650" s="1476"/>
      <c r="EP650" s="1476"/>
      <c r="EQ650" s="1476"/>
      <c r="ER650" s="1476" t="e">
        <f t="shared" si="27"/>
        <v>#VALUE!</v>
      </c>
      <c r="ES650" s="1476"/>
      <c r="ET650" s="1476"/>
      <c r="EU650" s="1476"/>
      <c r="EV650" s="1476"/>
      <c r="EW650" s="1476" t="e">
        <f t="shared" si="28"/>
        <v>#VALUE!</v>
      </c>
      <c r="EX650" s="1476"/>
      <c r="EY650" s="1476"/>
      <c r="EZ650" s="1476"/>
      <c r="FA650" s="1476"/>
    </row>
    <row r="651" spans="1:157" ht="13.05" customHeight="1">
      <c r="A651" s="55" t="s">
        <v>119</v>
      </c>
      <c r="B651" t="s">
        <v>471</v>
      </c>
      <c r="G651" s="1417">
        <f>C629</f>
        <v>0</v>
      </c>
      <c r="H651" s="1417"/>
      <c r="I651" s="1417"/>
      <c r="J651" s="1417"/>
      <c r="K651" s="1417"/>
      <c r="L651" s="1417"/>
      <c r="M651" s="1417"/>
      <c r="N651" s="1417"/>
      <c r="O651" s="1417"/>
      <c r="P651" s="1417"/>
      <c r="Q651" s="1417"/>
      <c r="R651" s="1417"/>
      <c r="T651" s="55" t="s">
        <v>589</v>
      </c>
      <c r="U651" t="s">
        <v>471</v>
      </c>
      <c r="Z651" s="1417">
        <f>C630</f>
        <v>0</v>
      </c>
      <c r="AA651" s="1417"/>
      <c r="AB651" s="1417"/>
      <c r="AC651" s="1417"/>
      <c r="AD651" s="1417"/>
      <c r="AE651" s="1417"/>
      <c r="AF651" s="1417"/>
      <c r="AG651" s="1417"/>
      <c r="AH651" s="1417"/>
      <c r="AI651" s="1417"/>
      <c r="AJ651" s="1417"/>
      <c r="AK651" s="1417"/>
      <c r="AZ651" s="34"/>
      <c r="BA651" s="34"/>
      <c r="BB651" s="34"/>
      <c r="BC651" s="34"/>
      <c r="BD651" s="34"/>
      <c r="BE651" s="34"/>
      <c r="BF651" s="34"/>
      <c r="BG651" s="34"/>
      <c r="BH651" s="34"/>
      <c r="BI651" s="34"/>
      <c r="BJ651" s="34"/>
      <c r="BK651" s="34"/>
      <c r="BL651" s="34"/>
      <c r="BM651" s="34"/>
      <c r="BN651" s="1479">
        <f t="shared" si="30"/>
        <v>0</v>
      </c>
      <c r="BO651" s="1480"/>
      <c r="BP651" s="1480"/>
      <c r="BQ651" s="1480"/>
      <c r="BR651" s="1481"/>
      <c r="BS651" s="1478">
        <f t="shared" si="31"/>
        <v>0</v>
      </c>
      <c r="BT651" s="1478"/>
      <c r="BU651" s="1478"/>
      <c r="BV651" s="1478"/>
      <c r="BW651" s="1478"/>
      <c r="BX651" s="1478">
        <f t="shared" si="32"/>
        <v>0</v>
      </c>
      <c r="BY651" s="1478"/>
      <c r="BZ651" s="1478"/>
      <c r="CA651" s="1478"/>
      <c r="CB651" s="1478"/>
      <c r="CC651" s="1478">
        <f t="shared" si="33"/>
        <v>0</v>
      </c>
      <c r="CD651" s="1478"/>
      <c r="CE651" s="1478"/>
      <c r="CF651" s="1478"/>
      <c r="CG651" s="1478"/>
      <c r="CH651" s="1478">
        <f t="shared" si="34"/>
        <v>0</v>
      </c>
      <c r="CI651" s="1478"/>
      <c r="CJ651" s="1478"/>
      <c r="CK651" s="1478"/>
      <c r="CL651" s="1478"/>
      <c r="CM651" s="1478">
        <f t="shared" si="35"/>
        <v>0</v>
      </c>
      <c r="CN651" s="1478"/>
      <c r="CO651" s="1478"/>
      <c r="CP651" s="1478"/>
      <c r="CQ651" s="1478"/>
      <c r="CR651" s="6"/>
      <c r="CS651" s="1479">
        <f t="shared" si="36"/>
        <v>0</v>
      </c>
      <c r="CT651" s="1480"/>
      <c r="CU651" s="1480"/>
      <c r="CV651" s="1480"/>
      <c r="CW651" s="1481"/>
      <c r="CX651" s="1479">
        <f t="shared" si="37"/>
        <v>0</v>
      </c>
      <c r="CY651" s="1480"/>
      <c r="CZ651" s="1480"/>
      <c r="DA651" s="1480"/>
      <c r="DB651" s="1481"/>
      <c r="DC651" s="1479">
        <f t="shared" si="38"/>
        <v>0</v>
      </c>
      <c r="DD651" s="1480"/>
      <c r="DE651" s="1480"/>
      <c r="DF651" s="1480"/>
      <c r="DG651" s="1481"/>
      <c r="DH651" s="1479">
        <f t="shared" si="39"/>
        <v>0</v>
      </c>
      <c r="DI651" s="1480"/>
      <c r="DJ651" s="1480"/>
      <c r="DK651" s="1480"/>
      <c r="DL651" s="1481"/>
      <c r="DM651" s="1479">
        <f t="shared" si="40"/>
        <v>0</v>
      </c>
      <c r="DN651" s="1480"/>
      <c r="DO651" s="1480"/>
      <c r="DP651" s="1480"/>
      <c r="DQ651" s="1481"/>
      <c r="DR651" s="1479">
        <f t="shared" si="41"/>
        <v>0</v>
      </c>
      <c r="DS651" s="1480"/>
      <c r="DT651" s="1480"/>
      <c r="DU651" s="1480"/>
      <c r="DV651" s="1481"/>
      <c r="DX651" s="1476" t="e">
        <f t="shared" si="29"/>
        <v>#VALUE!</v>
      </c>
      <c r="DY651" s="1476"/>
      <c r="DZ651" s="1476"/>
      <c r="EA651" s="1476"/>
      <c r="EB651" s="1476"/>
      <c r="EC651" s="1476" t="e">
        <f t="shared" si="24"/>
        <v>#VALUE!</v>
      </c>
      <c r="ED651" s="1476"/>
      <c r="EE651" s="1476"/>
      <c r="EF651" s="1476"/>
      <c r="EG651" s="1476"/>
      <c r="EH651" s="1476" t="e">
        <f t="shared" si="25"/>
        <v>#VALUE!</v>
      </c>
      <c r="EI651" s="1476"/>
      <c r="EJ651" s="1476"/>
      <c r="EK651" s="1476"/>
      <c r="EL651" s="1476"/>
      <c r="EM651" s="1476" t="e">
        <f t="shared" si="26"/>
        <v>#VALUE!</v>
      </c>
      <c r="EN651" s="1476"/>
      <c r="EO651" s="1476"/>
      <c r="EP651" s="1476"/>
      <c r="EQ651" s="1476"/>
      <c r="ER651" s="1476" t="e">
        <f t="shared" si="27"/>
        <v>#VALUE!</v>
      </c>
      <c r="ES651" s="1476"/>
      <c r="ET651" s="1476"/>
      <c r="EU651" s="1476"/>
      <c r="EV651" s="1476"/>
      <c r="EW651" s="1476" t="e">
        <f t="shared" si="28"/>
        <v>#VALUE!</v>
      </c>
      <c r="EX651" s="1476"/>
      <c r="EY651" s="1476"/>
      <c r="EZ651" s="1476"/>
      <c r="FA651" s="1476"/>
    </row>
    <row r="652" spans="1:157" ht="13.05" customHeight="1">
      <c r="A652" s="22"/>
      <c r="B652" t="s">
        <v>85</v>
      </c>
      <c r="G652" s="1416"/>
      <c r="H652" s="1416"/>
      <c r="I652" s="1416"/>
      <c r="J652" s="1416"/>
      <c r="K652" s="1416"/>
      <c r="L652" s="1416"/>
      <c r="M652" s="1416"/>
      <c r="N652" s="1416"/>
      <c r="O652" s="1416"/>
      <c r="P652" s="1416"/>
      <c r="Q652" s="1416"/>
      <c r="R652" s="1416"/>
      <c r="T652" s="22"/>
      <c r="U652" t="s">
        <v>85</v>
      </c>
      <c r="Z652" s="1416"/>
      <c r="AA652" s="1416"/>
      <c r="AB652" s="1416"/>
      <c r="AC652" s="1416"/>
      <c r="AD652" s="1416"/>
      <c r="AE652" s="1416"/>
      <c r="AF652" s="1416"/>
      <c r="AG652" s="1416"/>
      <c r="AH652" s="1416"/>
      <c r="AI652" s="1416"/>
      <c r="AJ652" s="1416"/>
      <c r="AK652" s="1416"/>
      <c r="AZ652" s="34"/>
      <c r="BA652" s="34"/>
      <c r="BB652" s="34"/>
      <c r="BC652" s="34"/>
      <c r="BD652" s="34"/>
      <c r="BE652" s="34"/>
      <c r="BF652" s="34"/>
      <c r="BG652" s="34"/>
      <c r="BH652" s="34"/>
      <c r="BI652" s="34"/>
      <c r="BJ652" s="34"/>
      <c r="BK652" s="34"/>
      <c r="BL652" s="34"/>
      <c r="BM652" s="34"/>
      <c r="BN652" s="1479">
        <f t="shared" si="30"/>
        <v>0</v>
      </c>
      <c r="BO652" s="1480"/>
      <c r="BP652" s="1480"/>
      <c r="BQ652" s="1480"/>
      <c r="BR652" s="1481"/>
      <c r="BS652" s="1478">
        <f t="shared" si="31"/>
        <v>0</v>
      </c>
      <c r="BT652" s="1478"/>
      <c r="BU652" s="1478"/>
      <c r="BV652" s="1478"/>
      <c r="BW652" s="1478"/>
      <c r="BX652" s="1478">
        <f t="shared" si="32"/>
        <v>0</v>
      </c>
      <c r="BY652" s="1478"/>
      <c r="BZ652" s="1478"/>
      <c r="CA652" s="1478"/>
      <c r="CB652" s="1478"/>
      <c r="CC652" s="1478">
        <f t="shared" si="33"/>
        <v>0</v>
      </c>
      <c r="CD652" s="1478"/>
      <c r="CE652" s="1478"/>
      <c r="CF652" s="1478"/>
      <c r="CG652" s="1478"/>
      <c r="CH652" s="1478">
        <f t="shared" si="34"/>
        <v>0</v>
      </c>
      <c r="CI652" s="1478"/>
      <c r="CJ652" s="1478"/>
      <c r="CK652" s="1478"/>
      <c r="CL652" s="1478"/>
      <c r="CM652" s="1478">
        <f t="shared" si="35"/>
        <v>0</v>
      </c>
      <c r="CN652" s="1478"/>
      <c r="CO652" s="1478"/>
      <c r="CP652" s="1478"/>
      <c r="CQ652" s="1478"/>
      <c r="CR652" s="6"/>
      <c r="CS652" s="1479">
        <f t="shared" si="36"/>
        <v>0</v>
      </c>
      <c r="CT652" s="1480"/>
      <c r="CU652" s="1480"/>
      <c r="CV652" s="1480"/>
      <c r="CW652" s="1481"/>
      <c r="CX652" s="1479">
        <f t="shared" si="37"/>
        <v>0</v>
      </c>
      <c r="CY652" s="1480"/>
      <c r="CZ652" s="1480"/>
      <c r="DA652" s="1480"/>
      <c r="DB652" s="1481"/>
      <c r="DC652" s="1479">
        <f t="shared" si="38"/>
        <v>0</v>
      </c>
      <c r="DD652" s="1480"/>
      <c r="DE652" s="1480"/>
      <c r="DF652" s="1480"/>
      <c r="DG652" s="1481"/>
      <c r="DH652" s="1479">
        <f t="shared" si="39"/>
        <v>0</v>
      </c>
      <c r="DI652" s="1480"/>
      <c r="DJ652" s="1480"/>
      <c r="DK652" s="1480"/>
      <c r="DL652" s="1481"/>
      <c r="DM652" s="1479">
        <f t="shared" si="40"/>
        <v>0</v>
      </c>
      <c r="DN652" s="1480"/>
      <c r="DO652" s="1480"/>
      <c r="DP652" s="1480"/>
      <c r="DQ652" s="1481"/>
      <c r="DR652" s="1479">
        <f t="shared" si="41"/>
        <v>0</v>
      </c>
      <c r="DS652" s="1480"/>
      <c r="DT652" s="1480"/>
      <c r="DU652" s="1480"/>
      <c r="DV652" s="1481"/>
      <c r="DX652" s="1476" t="e">
        <f t="shared" si="29"/>
        <v>#VALUE!</v>
      </c>
      <c r="DY652" s="1476"/>
      <c r="DZ652" s="1476"/>
      <c r="EA652" s="1476"/>
      <c r="EB652" s="1476"/>
      <c r="EC652" s="1476" t="e">
        <f t="shared" si="24"/>
        <v>#VALUE!</v>
      </c>
      <c r="ED652" s="1476"/>
      <c r="EE652" s="1476"/>
      <c r="EF652" s="1476"/>
      <c r="EG652" s="1476"/>
      <c r="EH652" s="1476" t="e">
        <f t="shared" si="25"/>
        <v>#VALUE!</v>
      </c>
      <c r="EI652" s="1476"/>
      <c r="EJ652" s="1476"/>
      <c r="EK652" s="1476"/>
      <c r="EL652" s="1476"/>
      <c r="EM652" s="1476" t="e">
        <f t="shared" si="26"/>
        <v>#VALUE!</v>
      </c>
      <c r="EN652" s="1476"/>
      <c r="EO652" s="1476"/>
      <c r="EP652" s="1476"/>
      <c r="EQ652" s="1476"/>
      <c r="ER652" s="1476" t="e">
        <f t="shared" si="27"/>
        <v>#VALUE!</v>
      </c>
      <c r="ES652" s="1476"/>
      <c r="ET652" s="1476"/>
      <c r="EU652" s="1476"/>
      <c r="EV652" s="1476"/>
      <c r="EW652" s="1476" t="e">
        <f t="shared" si="28"/>
        <v>#VALUE!</v>
      </c>
      <c r="EX652" s="1476"/>
      <c r="EY652" s="1476"/>
      <c r="EZ652" s="1476"/>
      <c r="FA652" s="1476"/>
    </row>
    <row r="653" spans="1:157" ht="13.05" customHeight="1">
      <c r="A653" s="22"/>
      <c r="B653" t="s">
        <v>588</v>
      </c>
      <c r="G653" s="1411"/>
      <c r="H653" s="1411"/>
      <c r="I653" s="1411"/>
      <c r="J653" s="1411"/>
      <c r="K653" s="1411"/>
      <c r="L653" s="1411"/>
      <c r="M653" s="1411"/>
      <c r="N653" s="1411"/>
      <c r="O653" s="1411"/>
      <c r="P653" s="1411"/>
      <c r="Q653" s="1411"/>
      <c r="R653" s="1411"/>
      <c r="T653" s="22"/>
      <c r="U653" t="s">
        <v>588</v>
      </c>
      <c r="Z653" s="1411"/>
      <c r="AA653" s="1411"/>
      <c r="AB653" s="1411"/>
      <c r="AC653" s="1411"/>
      <c r="AD653" s="1411"/>
      <c r="AE653" s="1411"/>
      <c r="AF653" s="1411"/>
      <c r="AG653" s="1411"/>
      <c r="AH653" s="1411"/>
      <c r="AI653" s="1411"/>
      <c r="AJ653" s="1411"/>
      <c r="AK653" s="1411"/>
      <c r="AZ653" s="34"/>
      <c r="BA653" s="34"/>
      <c r="BB653" s="34"/>
      <c r="BC653" s="34"/>
      <c r="BD653" s="34"/>
      <c r="BE653" s="34"/>
      <c r="BF653" s="34"/>
      <c r="BG653" s="34"/>
      <c r="BH653" s="34"/>
      <c r="BI653" s="34"/>
      <c r="BJ653" s="34"/>
      <c r="BK653" s="34"/>
      <c r="BL653" s="34"/>
      <c r="BM653" s="34"/>
      <c r="BN653" s="1479">
        <f t="shared" si="30"/>
        <v>0</v>
      </c>
      <c r="BO653" s="1480"/>
      <c r="BP653" s="1480"/>
      <c r="BQ653" s="1480"/>
      <c r="BR653" s="1481"/>
      <c r="BS653" s="1478">
        <f t="shared" si="31"/>
        <v>0</v>
      </c>
      <c r="BT653" s="1478"/>
      <c r="BU653" s="1478"/>
      <c r="BV653" s="1478"/>
      <c r="BW653" s="1478"/>
      <c r="BX653" s="1478">
        <f t="shared" si="32"/>
        <v>0</v>
      </c>
      <c r="BY653" s="1478"/>
      <c r="BZ653" s="1478"/>
      <c r="CA653" s="1478"/>
      <c r="CB653" s="1478"/>
      <c r="CC653" s="1478">
        <f t="shared" si="33"/>
        <v>0</v>
      </c>
      <c r="CD653" s="1478"/>
      <c r="CE653" s="1478"/>
      <c r="CF653" s="1478"/>
      <c r="CG653" s="1478"/>
      <c r="CH653" s="1478">
        <f t="shared" si="34"/>
        <v>0</v>
      </c>
      <c r="CI653" s="1478"/>
      <c r="CJ653" s="1478"/>
      <c r="CK653" s="1478"/>
      <c r="CL653" s="1478"/>
      <c r="CM653" s="1478">
        <f t="shared" si="35"/>
        <v>0</v>
      </c>
      <c r="CN653" s="1478"/>
      <c r="CO653" s="1478"/>
      <c r="CP653" s="1478"/>
      <c r="CQ653" s="1478"/>
      <c r="CR653" s="6"/>
      <c r="CS653" s="1479">
        <f t="shared" si="36"/>
        <v>0</v>
      </c>
      <c r="CT653" s="1480"/>
      <c r="CU653" s="1480"/>
      <c r="CV653" s="1480"/>
      <c r="CW653" s="1481"/>
      <c r="CX653" s="1479">
        <f t="shared" si="37"/>
        <v>0</v>
      </c>
      <c r="CY653" s="1480"/>
      <c r="CZ653" s="1480"/>
      <c r="DA653" s="1480"/>
      <c r="DB653" s="1481"/>
      <c r="DC653" s="1479">
        <f t="shared" si="38"/>
        <v>0</v>
      </c>
      <c r="DD653" s="1480"/>
      <c r="DE653" s="1480"/>
      <c r="DF653" s="1480"/>
      <c r="DG653" s="1481"/>
      <c r="DH653" s="1479">
        <f t="shared" si="39"/>
        <v>0</v>
      </c>
      <c r="DI653" s="1480"/>
      <c r="DJ653" s="1480"/>
      <c r="DK653" s="1480"/>
      <c r="DL653" s="1481"/>
      <c r="DM653" s="1479">
        <f t="shared" si="40"/>
        <v>0</v>
      </c>
      <c r="DN653" s="1480"/>
      <c r="DO653" s="1480"/>
      <c r="DP653" s="1480"/>
      <c r="DQ653" s="1481"/>
      <c r="DR653" s="1479">
        <f t="shared" si="41"/>
        <v>0</v>
      </c>
      <c r="DS653" s="1480"/>
      <c r="DT653" s="1480"/>
      <c r="DU653" s="1480"/>
      <c r="DV653" s="1481"/>
      <c r="DX653" s="1476" t="e">
        <f t="shared" si="29"/>
        <v>#VALUE!</v>
      </c>
      <c r="DY653" s="1476"/>
      <c r="DZ653" s="1476"/>
      <c r="EA653" s="1476"/>
      <c r="EB653" s="1476"/>
      <c r="EC653" s="1476" t="e">
        <f t="shared" si="24"/>
        <v>#VALUE!</v>
      </c>
      <c r="ED653" s="1476"/>
      <c r="EE653" s="1476"/>
      <c r="EF653" s="1476"/>
      <c r="EG653" s="1476"/>
      <c r="EH653" s="1476" t="e">
        <f t="shared" si="25"/>
        <v>#VALUE!</v>
      </c>
      <c r="EI653" s="1476"/>
      <c r="EJ653" s="1476"/>
      <c r="EK653" s="1476"/>
      <c r="EL653" s="1476"/>
      <c r="EM653" s="1476" t="e">
        <f t="shared" si="26"/>
        <v>#VALUE!</v>
      </c>
      <c r="EN653" s="1476"/>
      <c r="EO653" s="1476"/>
      <c r="EP653" s="1476"/>
      <c r="EQ653" s="1476"/>
      <c r="ER653" s="1476" t="e">
        <f t="shared" si="27"/>
        <v>#VALUE!</v>
      </c>
      <c r="ES653" s="1476"/>
      <c r="ET653" s="1476"/>
      <c r="EU653" s="1476"/>
      <c r="EV653" s="1476"/>
      <c r="EW653" s="1476" t="e">
        <f t="shared" si="28"/>
        <v>#VALUE!</v>
      </c>
      <c r="EX653" s="1476"/>
      <c r="EY653" s="1476"/>
      <c r="EZ653" s="1476"/>
      <c r="FA653" s="1476"/>
    </row>
    <row r="654" spans="1:157" ht="13.05" customHeight="1">
      <c r="A654" s="22"/>
      <c r="B654" t="s">
        <v>17</v>
      </c>
      <c r="G654" s="1411"/>
      <c r="H654" s="1411"/>
      <c r="I654" s="1411"/>
      <c r="J654" s="1411"/>
      <c r="K654" s="1411"/>
      <c r="L654" s="1411"/>
      <c r="M654" s="1411"/>
      <c r="N654" s="1411"/>
      <c r="O654" s="1411"/>
      <c r="P654" s="1411"/>
      <c r="Q654" s="1411"/>
      <c r="R654" s="1411"/>
      <c r="T654" s="22"/>
      <c r="U654" t="s">
        <v>17</v>
      </c>
      <c r="Z654" s="1411"/>
      <c r="AA654" s="1411"/>
      <c r="AB654" s="1411"/>
      <c r="AC654" s="1411"/>
      <c r="AD654" s="1411"/>
      <c r="AE654" s="1411"/>
      <c r="AF654" s="1411"/>
      <c r="AG654" s="1411"/>
      <c r="AH654" s="1411"/>
      <c r="AI654" s="1411"/>
      <c r="AJ654" s="1411"/>
      <c r="AK654" s="1411"/>
      <c r="AZ654" s="34"/>
      <c r="BA654" s="34"/>
      <c r="BB654" s="34"/>
      <c r="BC654" s="34"/>
      <c r="BD654" s="34"/>
      <c r="BE654" s="34"/>
      <c r="BF654" s="34"/>
      <c r="BG654" s="34"/>
      <c r="BH654" s="34"/>
      <c r="BI654" s="34"/>
      <c r="BJ654" s="34"/>
      <c r="BK654" s="34"/>
      <c r="BL654" s="34"/>
      <c r="BM654" s="34"/>
      <c r="BN654" s="1479">
        <f t="shared" si="30"/>
        <v>0</v>
      </c>
      <c r="BO654" s="1480"/>
      <c r="BP654" s="1480"/>
      <c r="BQ654" s="1480"/>
      <c r="BR654" s="1481"/>
      <c r="BS654" s="1478">
        <f t="shared" si="31"/>
        <v>0</v>
      </c>
      <c r="BT654" s="1478"/>
      <c r="BU654" s="1478"/>
      <c r="BV654" s="1478"/>
      <c r="BW654" s="1478"/>
      <c r="BX654" s="1478">
        <f t="shared" si="32"/>
        <v>0</v>
      </c>
      <c r="BY654" s="1478"/>
      <c r="BZ654" s="1478"/>
      <c r="CA654" s="1478"/>
      <c r="CB654" s="1478"/>
      <c r="CC654" s="1478">
        <f t="shared" si="33"/>
        <v>0</v>
      </c>
      <c r="CD654" s="1478"/>
      <c r="CE654" s="1478"/>
      <c r="CF654" s="1478"/>
      <c r="CG654" s="1478"/>
      <c r="CH654" s="1478">
        <f t="shared" si="34"/>
        <v>0</v>
      </c>
      <c r="CI654" s="1478"/>
      <c r="CJ654" s="1478"/>
      <c r="CK654" s="1478"/>
      <c r="CL654" s="1478"/>
      <c r="CM654" s="1478">
        <f t="shared" si="35"/>
        <v>0</v>
      </c>
      <c r="CN654" s="1478"/>
      <c r="CO654" s="1478"/>
      <c r="CP654" s="1478"/>
      <c r="CQ654" s="1478"/>
      <c r="CR654" s="6"/>
      <c r="CS654" s="1479">
        <f t="shared" si="36"/>
        <v>0</v>
      </c>
      <c r="CT654" s="1480"/>
      <c r="CU654" s="1480"/>
      <c r="CV654" s="1480"/>
      <c r="CW654" s="1481"/>
      <c r="CX654" s="1479">
        <f t="shared" si="37"/>
        <v>0</v>
      </c>
      <c r="CY654" s="1480"/>
      <c r="CZ654" s="1480"/>
      <c r="DA654" s="1480"/>
      <c r="DB654" s="1481"/>
      <c r="DC654" s="1479">
        <f t="shared" si="38"/>
        <v>0</v>
      </c>
      <c r="DD654" s="1480"/>
      <c r="DE654" s="1480"/>
      <c r="DF654" s="1480"/>
      <c r="DG654" s="1481"/>
      <c r="DH654" s="1479">
        <f t="shared" si="39"/>
        <v>0</v>
      </c>
      <c r="DI654" s="1480"/>
      <c r="DJ654" s="1480"/>
      <c r="DK654" s="1480"/>
      <c r="DL654" s="1481"/>
      <c r="DM654" s="1479">
        <f t="shared" si="40"/>
        <v>0</v>
      </c>
      <c r="DN654" s="1480"/>
      <c r="DO654" s="1480"/>
      <c r="DP654" s="1480"/>
      <c r="DQ654" s="1481"/>
      <c r="DR654" s="1479">
        <f t="shared" si="41"/>
        <v>0</v>
      </c>
      <c r="DS654" s="1480"/>
      <c r="DT654" s="1480"/>
      <c r="DU654" s="1480"/>
      <c r="DV654" s="1481"/>
      <c r="DX654" s="1476" t="e">
        <f t="shared" si="29"/>
        <v>#VALUE!</v>
      </c>
      <c r="DY654" s="1476"/>
      <c r="DZ654" s="1476"/>
      <c r="EA654" s="1476"/>
      <c r="EB654" s="1476"/>
      <c r="EC654" s="1476" t="e">
        <f t="shared" si="24"/>
        <v>#VALUE!</v>
      </c>
      <c r="ED654" s="1476"/>
      <c r="EE654" s="1476"/>
      <c r="EF654" s="1476"/>
      <c r="EG654" s="1476"/>
      <c r="EH654" s="1476" t="e">
        <f t="shared" si="25"/>
        <v>#VALUE!</v>
      </c>
      <c r="EI654" s="1476"/>
      <c r="EJ654" s="1476"/>
      <c r="EK654" s="1476"/>
      <c r="EL654" s="1476"/>
      <c r="EM654" s="1476" t="e">
        <f t="shared" si="26"/>
        <v>#VALUE!</v>
      </c>
      <c r="EN654" s="1476"/>
      <c r="EO654" s="1476"/>
      <c r="EP654" s="1476"/>
      <c r="EQ654" s="1476"/>
      <c r="ER654" s="1476" t="e">
        <f t="shared" si="27"/>
        <v>#VALUE!</v>
      </c>
      <c r="ES654" s="1476"/>
      <c r="ET654" s="1476"/>
      <c r="EU654" s="1476"/>
      <c r="EV654" s="1476"/>
      <c r="EW654" s="1476" t="e">
        <f t="shared" si="28"/>
        <v>#VALUE!</v>
      </c>
      <c r="EX654" s="1476"/>
      <c r="EY654" s="1476"/>
      <c r="EZ654" s="1476"/>
      <c r="FA654" s="1476"/>
    </row>
    <row r="655" spans="1:157" ht="13.05" customHeight="1">
      <c r="A655" s="22"/>
      <c r="B655" t="s">
        <v>317</v>
      </c>
      <c r="G655" s="1477"/>
      <c r="H655" s="1477"/>
      <c r="I655" s="1477"/>
      <c r="J655" s="1477"/>
      <c r="K655" s="1477"/>
      <c r="L655" s="1477"/>
      <c r="O655" s="33" t="s">
        <v>207</v>
      </c>
      <c r="P655" s="1441"/>
      <c r="Q655" s="1441"/>
      <c r="R655" s="1441"/>
      <c r="T655" s="22"/>
      <c r="U655" t="s">
        <v>317</v>
      </c>
      <c r="Z655" s="1477"/>
      <c r="AA655" s="1477"/>
      <c r="AB655" s="1477"/>
      <c r="AC655" s="1477"/>
      <c r="AD655" s="1477"/>
      <c r="AE655" s="1477"/>
      <c r="AH655" s="33" t="s">
        <v>207</v>
      </c>
      <c r="AI655" s="1441"/>
      <c r="AJ655" s="1441"/>
      <c r="AK655" s="1441"/>
      <c r="AZ655" s="34"/>
      <c r="BA655" s="34"/>
      <c r="BB655" s="34"/>
      <c r="BC655" s="34"/>
      <c r="BD655" s="34"/>
      <c r="BE655" s="34"/>
      <c r="BF655" s="34"/>
      <c r="BG655" s="34"/>
      <c r="BH655" s="34"/>
      <c r="BI655" s="34"/>
      <c r="BJ655" s="34"/>
      <c r="BK655" s="34"/>
      <c r="BL655" s="34"/>
      <c r="BM655" s="34"/>
      <c r="BN655" s="1671">
        <f>SUM(BN645:BR654)</f>
        <v>0</v>
      </c>
      <c r="BO655" s="1672"/>
      <c r="BP655" s="1672"/>
      <c r="BQ655" s="1672"/>
      <c r="BR655" s="1673"/>
      <c r="BS655" s="1492">
        <f>SUM(BS645:BW654)</f>
        <v>0</v>
      </c>
      <c r="BT655" s="1493"/>
      <c r="BU655" s="1493"/>
      <c r="BV655" s="1493"/>
      <c r="BW655" s="1494"/>
      <c r="BX655" s="1492">
        <f>SUM(BX645:CB654)</f>
        <v>0</v>
      </c>
      <c r="BY655" s="1493"/>
      <c r="BZ655" s="1493"/>
      <c r="CA655" s="1493"/>
      <c r="CB655" s="1494"/>
      <c r="CC655" s="1492">
        <f>SUM(CC645:CG654)</f>
        <v>0</v>
      </c>
      <c r="CD655" s="1493"/>
      <c r="CE655" s="1493"/>
      <c r="CF655" s="1493"/>
      <c r="CG655" s="1494"/>
      <c r="CH655" s="1492">
        <f>SUM(CH645:CL654)</f>
        <v>0</v>
      </c>
      <c r="CI655" s="1493"/>
      <c r="CJ655" s="1493"/>
      <c r="CK655" s="1493"/>
      <c r="CL655" s="1494"/>
      <c r="CM655" s="1492">
        <f>SUM(CM645:CQ654)</f>
        <v>0</v>
      </c>
      <c r="CN655" s="1493"/>
      <c r="CO655" s="1493"/>
      <c r="CP655" s="1493"/>
      <c r="CQ655" s="1494"/>
      <c r="CR655" s="1047"/>
      <c r="CS655" s="1495">
        <f>SUM(CS645:CW654)</f>
        <v>0</v>
      </c>
      <c r="CT655" s="1495"/>
      <c r="CU655" s="1495"/>
      <c r="CV655" s="1495"/>
      <c r="CW655" s="1495"/>
      <c r="CX655" s="1495">
        <f>SUM(CX645:DB654)</f>
        <v>0</v>
      </c>
      <c r="CY655" s="1495"/>
      <c r="CZ655" s="1495"/>
      <c r="DA655" s="1495"/>
      <c r="DB655" s="1495"/>
      <c r="DC655" s="1495">
        <f>SUM(DC645:DG654)</f>
        <v>0</v>
      </c>
      <c r="DD655" s="1495"/>
      <c r="DE655" s="1495"/>
      <c r="DF655" s="1495"/>
      <c r="DG655" s="1495"/>
      <c r="DH655" s="1495">
        <f>SUM(DH645:DL654)</f>
        <v>0</v>
      </c>
      <c r="DI655" s="1495"/>
      <c r="DJ655" s="1495"/>
      <c r="DK655" s="1495"/>
      <c r="DL655" s="1495"/>
      <c r="DM655" s="1495">
        <f>SUM(DM645:DQ654)</f>
        <v>0</v>
      </c>
      <c r="DN655" s="1495"/>
      <c r="DO655" s="1495"/>
      <c r="DP655" s="1495"/>
      <c r="DQ655" s="1495"/>
      <c r="DR655" s="1495">
        <f>SUM(DR645:DV654)</f>
        <v>0</v>
      </c>
      <c r="DS655" s="1495"/>
      <c r="DT655" s="1495"/>
      <c r="DU655" s="1495"/>
      <c r="DV655" s="1495"/>
      <c r="DX655" s="1476" t="e">
        <f t="shared" si="29"/>
        <v>#VALUE!</v>
      </c>
      <c r="DY655" s="1476"/>
      <c r="DZ655" s="1476"/>
      <c r="EA655" s="1476"/>
      <c r="EB655" s="1476"/>
      <c r="EC655" s="1476" t="e">
        <f t="shared" si="24"/>
        <v>#VALUE!</v>
      </c>
      <c r="ED655" s="1476"/>
      <c r="EE655" s="1476"/>
      <c r="EF655" s="1476"/>
      <c r="EG655" s="1476"/>
      <c r="EH655" s="1476" t="e">
        <f t="shared" si="25"/>
        <v>#VALUE!</v>
      </c>
      <c r="EI655" s="1476"/>
      <c r="EJ655" s="1476"/>
      <c r="EK655" s="1476"/>
      <c r="EL655" s="1476"/>
      <c r="EM655" s="1476" t="e">
        <f t="shared" si="26"/>
        <v>#VALUE!</v>
      </c>
      <c r="EN655" s="1476"/>
      <c r="EO655" s="1476"/>
      <c r="EP655" s="1476"/>
      <c r="EQ655" s="1476"/>
      <c r="ER655" s="1476" t="e">
        <f t="shared" si="27"/>
        <v>#VALUE!</v>
      </c>
      <c r="ES655" s="1476"/>
      <c r="ET655" s="1476"/>
      <c r="EU655" s="1476"/>
      <c r="EV655" s="1476"/>
      <c r="EW655" s="1476" t="e">
        <f t="shared" si="28"/>
        <v>#VALUE!</v>
      </c>
      <c r="EX655" s="1476"/>
      <c r="EY655" s="1476"/>
      <c r="EZ655" s="1476"/>
      <c r="FA655" s="1476"/>
    </row>
    <row r="656" spans="1:157" ht="13.05" customHeight="1">
      <c r="A656" s="22"/>
      <c r="B656" t="s">
        <v>18</v>
      </c>
      <c r="H656" s="1416"/>
      <c r="I656" s="1416"/>
      <c r="J656" s="1416"/>
      <c r="K656" s="1416"/>
      <c r="L656" s="1416"/>
      <c r="M656" s="1416"/>
      <c r="N656" s="1416"/>
      <c r="O656" s="1416"/>
      <c r="P656" s="1416"/>
      <c r="Q656" s="1416"/>
      <c r="R656" s="1416"/>
      <c r="T656" s="22"/>
      <c r="U656" t="s">
        <v>18</v>
      </c>
      <c r="AA656" s="1416"/>
      <c r="AB656" s="1416"/>
      <c r="AC656" s="1416"/>
      <c r="AD656" s="1416"/>
      <c r="AE656" s="1416"/>
      <c r="AF656" s="1416"/>
      <c r="AG656" s="1416"/>
      <c r="AH656" s="1416"/>
      <c r="AI656" s="1416"/>
      <c r="AJ656" s="1416"/>
      <c r="AK656" s="141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6" t="e">
        <f t="shared" si="29"/>
        <v>#VALUE!</v>
      </c>
      <c r="DY656" s="1476"/>
      <c r="DZ656" s="1476"/>
      <c r="EA656" s="1476"/>
      <c r="EB656" s="1476"/>
      <c r="EC656" s="1476" t="e">
        <f t="shared" si="24"/>
        <v>#VALUE!</v>
      </c>
      <c r="ED656" s="1476"/>
      <c r="EE656" s="1476"/>
      <c r="EF656" s="1476"/>
      <c r="EG656" s="1476"/>
      <c r="EH656" s="1476" t="e">
        <f t="shared" si="25"/>
        <v>#VALUE!</v>
      </c>
      <c r="EI656" s="1476"/>
      <c r="EJ656" s="1476"/>
      <c r="EK656" s="1476"/>
      <c r="EL656" s="1476"/>
      <c r="EM656" s="1476" t="e">
        <f t="shared" si="26"/>
        <v>#VALUE!</v>
      </c>
      <c r="EN656" s="1476"/>
      <c r="EO656" s="1476"/>
      <c r="EP656" s="1476"/>
      <c r="EQ656" s="1476"/>
      <c r="ER656" s="1476" t="e">
        <f t="shared" si="27"/>
        <v>#VALUE!</v>
      </c>
      <c r="ES656" s="1476"/>
      <c r="ET656" s="1476"/>
      <c r="EU656" s="1476"/>
      <c r="EV656" s="1476"/>
      <c r="EW656" s="1476" t="e">
        <f t="shared" si="28"/>
        <v>#VALUE!</v>
      </c>
      <c r="EX656" s="1476"/>
      <c r="EY656" s="1476"/>
      <c r="EZ656" s="1476"/>
      <c r="FA656" s="1476"/>
    </row>
    <row r="657" spans="1:157" ht="13.05" customHeight="1">
      <c r="A657" s="22"/>
      <c r="B657" t="s">
        <v>20</v>
      </c>
      <c r="N657" s="1415"/>
      <c r="O657" s="1415"/>
      <c r="T657" s="22"/>
      <c r="U657" t="s">
        <v>20</v>
      </c>
      <c r="AG657" s="1415"/>
      <c r="AH657" s="1415"/>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476">
        <f>SUM(CS655:DV655)</f>
        <v>0</v>
      </c>
      <c r="DS657" s="1476"/>
      <c r="DT657" s="1476"/>
      <c r="DU657" s="1476"/>
      <c r="DV657" s="1476"/>
      <c r="DX657" s="1476" t="e">
        <f t="shared" si="29"/>
        <v>#VALUE!</v>
      </c>
      <c r="DY657" s="1476"/>
      <c r="DZ657" s="1476"/>
      <c r="EA657" s="1476"/>
      <c r="EB657" s="1476"/>
      <c r="EC657" s="1476" t="e">
        <f t="shared" si="24"/>
        <v>#VALUE!</v>
      </c>
      <c r="ED657" s="1476"/>
      <c r="EE657" s="1476"/>
      <c r="EF657" s="1476"/>
      <c r="EG657" s="1476"/>
      <c r="EH657" s="1476" t="e">
        <f t="shared" si="25"/>
        <v>#VALUE!</v>
      </c>
      <c r="EI657" s="1476"/>
      <c r="EJ657" s="1476"/>
      <c r="EK657" s="1476"/>
      <c r="EL657" s="1476"/>
      <c r="EM657" s="1476" t="e">
        <f t="shared" si="26"/>
        <v>#VALUE!</v>
      </c>
      <c r="EN657" s="1476"/>
      <c r="EO657" s="1476"/>
      <c r="EP657" s="1476"/>
      <c r="EQ657" s="1476"/>
      <c r="ER657" s="1476" t="e">
        <f t="shared" si="27"/>
        <v>#VALUE!</v>
      </c>
      <c r="ES657" s="1476"/>
      <c r="ET657" s="1476"/>
      <c r="EU657" s="1476"/>
      <c r="EV657" s="1476"/>
      <c r="EW657" s="1476" t="e">
        <f t="shared" si="28"/>
        <v>#VALUE!</v>
      </c>
      <c r="EX657" s="1476"/>
      <c r="EY657" s="1476"/>
      <c r="EZ657" s="1476"/>
      <c r="FA657" s="1476"/>
    </row>
    <row r="658" spans="1:157" ht="13.0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476" t="e">
        <f t="shared" ref="DX658:DX667" si="42">DX620*(BN620/$BN$632)</f>
        <v>#VALUE!</v>
      </c>
      <c r="DY658" s="1476"/>
      <c r="DZ658" s="1476"/>
      <c r="EA658" s="1476"/>
      <c r="EB658" s="1476"/>
      <c r="EC658" s="1476" t="e">
        <f t="shared" ref="EC658:EC667" si="43">EC620*(BS620/$BS$632)</f>
        <v>#VALUE!</v>
      </c>
      <c r="ED658" s="1476"/>
      <c r="EE658" s="1476"/>
      <c r="EF658" s="1476"/>
      <c r="EG658" s="1476"/>
      <c r="EH658" s="1476" t="e">
        <f t="shared" ref="EH658:EH667" si="44">EH620*(BX620/$BX$632)</f>
        <v>#VALUE!</v>
      </c>
      <c r="EI658" s="1476"/>
      <c r="EJ658" s="1476"/>
      <c r="EK658" s="1476"/>
      <c r="EL658" s="1476"/>
      <c r="EM658" s="1476" t="e">
        <f t="shared" ref="EM658:EM667" si="45">EM620*(CC620/$CC$632)</f>
        <v>#VALUE!</v>
      </c>
      <c r="EN658" s="1476"/>
      <c r="EO658" s="1476"/>
      <c r="EP658" s="1476"/>
      <c r="EQ658" s="1476"/>
      <c r="ER658" s="1476" t="e">
        <f t="shared" ref="ER658:ER667" si="46">ER620*(CH620/$CH$632)</f>
        <v>#VALUE!</v>
      </c>
      <c r="ES658" s="1476"/>
      <c r="ET658" s="1476"/>
      <c r="EU658" s="1476"/>
      <c r="EV658" s="1476"/>
      <c r="EW658" s="1476" t="e">
        <f t="shared" ref="EW658:EW667" si="47">EW620*(CM620/$CM$632)</f>
        <v>#VALUE!</v>
      </c>
      <c r="EX658" s="1476"/>
      <c r="EY658" s="1476"/>
      <c r="EZ658" s="1476"/>
      <c r="FA658" s="1476"/>
    </row>
    <row r="659" spans="1:157" ht="13.05" customHeight="1">
      <c r="A659" s="55" t="s">
        <v>771</v>
      </c>
      <c r="B659" t="s">
        <v>471</v>
      </c>
      <c r="G659" s="1417">
        <f>C631</f>
        <v>0</v>
      </c>
      <c r="H659" s="1417"/>
      <c r="I659" s="1417"/>
      <c r="J659" s="1417"/>
      <c r="K659" s="1417"/>
      <c r="L659" s="1417"/>
      <c r="M659" s="1417"/>
      <c r="N659" s="1417"/>
      <c r="O659" s="1417"/>
      <c r="P659" s="1417"/>
      <c r="Q659" s="1417"/>
      <c r="R659" s="1417"/>
      <c r="T659" s="55" t="s">
        <v>592</v>
      </c>
      <c r="U659" t="s">
        <v>471</v>
      </c>
      <c r="Z659" s="1417">
        <f>C632</f>
        <v>0</v>
      </c>
      <c r="AA659" s="1417"/>
      <c r="AB659" s="1417"/>
      <c r="AC659" s="1417"/>
      <c r="AD659" s="1417"/>
      <c r="AE659" s="1417"/>
      <c r="AF659" s="1417"/>
      <c r="AG659" s="1417"/>
      <c r="AH659" s="1417"/>
      <c r="AI659" s="1417"/>
      <c r="AJ659" s="1417"/>
      <c r="AK659" s="141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6" t="e">
        <f t="shared" si="42"/>
        <v>#VALUE!</v>
      </c>
      <c r="DY659" s="1476"/>
      <c r="DZ659" s="1476"/>
      <c r="EA659" s="1476"/>
      <c r="EB659" s="1476"/>
      <c r="EC659" s="1476" t="e">
        <f t="shared" si="43"/>
        <v>#VALUE!</v>
      </c>
      <c r="ED659" s="1476"/>
      <c r="EE659" s="1476"/>
      <c r="EF659" s="1476"/>
      <c r="EG659" s="1476"/>
      <c r="EH659" s="1476" t="e">
        <f t="shared" si="44"/>
        <v>#VALUE!</v>
      </c>
      <c r="EI659" s="1476"/>
      <c r="EJ659" s="1476"/>
      <c r="EK659" s="1476"/>
      <c r="EL659" s="1476"/>
      <c r="EM659" s="1476" t="e">
        <f t="shared" si="45"/>
        <v>#VALUE!</v>
      </c>
      <c r="EN659" s="1476"/>
      <c r="EO659" s="1476"/>
      <c r="EP659" s="1476"/>
      <c r="EQ659" s="1476"/>
      <c r="ER659" s="1476" t="e">
        <f t="shared" si="46"/>
        <v>#VALUE!</v>
      </c>
      <c r="ES659" s="1476"/>
      <c r="ET659" s="1476"/>
      <c r="EU659" s="1476"/>
      <c r="EV659" s="1476"/>
      <c r="EW659" s="1476" t="e">
        <f t="shared" si="47"/>
        <v>#VALUE!</v>
      </c>
      <c r="EX659" s="1476"/>
      <c r="EY659" s="1476"/>
      <c r="EZ659" s="1476"/>
      <c r="FA659" s="1476"/>
    </row>
    <row r="660" spans="1:157" ht="13.05" customHeight="1">
      <c r="A660" s="22"/>
      <c r="B660" t="s">
        <v>85</v>
      </c>
      <c r="G660" s="1416"/>
      <c r="H660" s="1416"/>
      <c r="I660" s="1416"/>
      <c r="J660" s="1416"/>
      <c r="K660" s="1416"/>
      <c r="L660" s="1416"/>
      <c r="M660" s="1416"/>
      <c r="N660" s="1416"/>
      <c r="O660" s="1416"/>
      <c r="P660" s="1416"/>
      <c r="Q660" s="1416"/>
      <c r="R660" s="1416"/>
      <c r="T660" s="22"/>
      <c r="U660" t="s">
        <v>85</v>
      </c>
      <c r="Z660" s="1416"/>
      <c r="AA660" s="1416"/>
      <c r="AB660" s="1416"/>
      <c r="AC660" s="1416"/>
      <c r="AD660" s="1416"/>
      <c r="AE660" s="1416"/>
      <c r="AF660" s="1416"/>
      <c r="AG660" s="1416"/>
      <c r="AH660" s="1416"/>
      <c r="AI660" s="1416"/>
      <c r="AJ660" s="1416"/>
      <c r="AK660" s="1416"/>
      <c r="AZ660" s="34"/>
      <c r="BA660" s="34"/>
      <c r="BB660" s="34"/>
      <c r="BC660" s="34"/>
      <c r="BD660" s="34"/>
      <c r="BE660" s="34"/>
      <c r="BF660" s="34"/>
      <c r="BG660" s="34"/>
      <c r="BH660" s="34"/>
      <c r="BI660" s="34"/>
      <c r="BJ660" s="34"/>
      <c r="BK660" s="34"/>
      <c r="BL660" s="34"/>
      <c r="BM660" s="34"/>
      <c r="BN660" s="1492">
        <f>BN632+BN641+BN655</f>
        <v>0</v>
      </c>
      <c r="BO660" s="1493"/>
      <c r="BP660" s="1493"/>
      <c r="BQ660" s="1493"/>
      <c r="BR660" s="1494"/>
      <c r="BS660" s="1492">
        <f>BS632+BS641+BS655</f>
        <v>21</v>
      </c>
      <c r="BT660" s="1493"/>
      <c r="BU660" s="1493"/>
      <c r="BV660" s="1493"/>
      <c r="BW660" s="1494"/>
      <c r="BX660" s="1492">
        <f>BX632+BX641+BX655</f>
        <v>40</v>
      </c>
      <c r="BY660" s="1493"/>
      <c r="BZ660" s="1493"/>
      <c r="CA660" s="1493"/>
      <c r="CB660" s="1494"/>
      <c r="CC660" s="1492">
        <f>CC632+CC641+CC655</f>
        <v>39</v>
      </c>
      <c r="CD660" s="1493"/>
      <c r="CE660" s="1493"/>
      <c r="CF660" s="1493"/>
      <c r="CG660" s="1494"/>
      <c r="CH660" s="1492">
        <f>CH632+CH641+CH655</f>
        <v>0</v>
      </c>
      <c r="CI660" s="1493"/>
      <c r="CJ660" s="1493"/>
      <c r="CK660" s="1493"/>
      <c r="CL660" s="1494"/>
      <c r="CM660" s="1473">
        <f>CM655+CM641+CM632</f>
        <v>0</v>
      </c>
      <c r="CN660" s="1474"/>
      <c r="CO660" s="1474"/>
      <c r="CP660" s="1474"/>
      <c r="CQ660" s="1475"/>
      <c r="CR660" s="3"/>
      <c r="CS660" s="895">
        <f>CS634+CS658</f>
        <v>215</v>
      </c>
      <c r="CT660" s="57" t="s">
        <v>2052</v>
      </c>
      <c r="CU660" s="3"/>
      <c r="CV660" s="3"/>
      <c r="CW660" s="3"/>
      <c r="CX660" s="3"/>
      <c r="CY660" s="3"/>
      <c r="CZ660" s="3"/>
      <c r="DA660" s="3"/>
      <c r="DB660" s="3"/>
      <c r="DC660" s="3"/>
      <c r="DD660" s="3"/>
      <c r="DE660" s="3"/>
      <c r="DF660" s="3"/>
      <c r="DX660" s="1476" t="e">
        <f t="shared" si="42"/>
        <v>#VALUE!</v>
      </c>
      <c r="DY660" s="1476"/>
      <c r="DZ660" s="1476"/>
      <c r="EA660" s="1476"/>
      <c r="EB660" s="1476"/>
      <c r="EC660" s="1476" t="e">
        <f t="shared" si="43"/>
        <v>#VALUE!</v>
      </c>
      <c r="ED660" s="1476"/>
      <c r="EE660" s="1476"/>
      <c r="EF660" s="1476"/>
      <c r="EG660" s="1476"/>
      <c r="EH660" s="1476" t="e">
        <f t="shared" si="44"/>
        <v>#VALUE!</v>
      </c>
      <c r="EI660" s="1476"/>
      <c r="EJ660" s="1476"/>
      <c r="EK660" s="1476"/>
      <c r="EL660" s="1476"/>
      <c r="EM660" s="1476" t="e">
        <f t="shared" si="45"/>
        <v>#VALUE!</v>
      </c>
      <c r="EN660" s="1476"/>
      <c r="EO660" s="1476"/>
      <c r="EP660" s="1476"/>
      <c r="EQ660" s="1476"/>
      <c r="ER660" s="1476" t="e">
        <f t="shared" si="46"/>
        <v>#VALUE!</v>
      </c>
      <c r="ES660" s="1476"/>
      <c r="ET660" s="1476"/>
      <c r="EU660" s="1476"/>
      <c r="EV660" s="1476"/>
      <c r="EW660" s="1476" t="e">
        <f t="shared" si="47"/>
        <v>#VALUE!</v>
      </c>
      <c r="EX660" s="1476"/>
      <c r="EY660" s="1476"/>
      <c r="EZ660" s="1476"/>
      <c r="FA660" s="1476"/>
    </row>
    <row r="661" spans="1:157" ht="13.05" customHeight="1">
      <c r="A661" s="22"/>
      <c r="B661" t="s">
        <v>588</v>
      </c>
      <c r="G661" s="1416"/>
      <c r="H661" s="1416"/>
      <c r="I661" s="1416"/>
      <c r="J661" s="1416"/>
      <c r="K661" s="1416"/>
      <c r="L661" s="1416"/>
      <c r="M661" s="1416"/>
      <c r="N661" s="1416"/>
      <c r="O661" s="1416"/>
      <c r="P661" s="1416"/>
      <c r="Q661" s="1416"/>
      <c r="R661" s="1416"/>
      <c r="T661" s="22"/>
      <c r="U661" t="s">
        <v>588</v>
      </c>
      <c r="Z661" s="1411"/>
      <c r="AA661" s="1411"/>
      <c r="AB661" s="1411"/>
      <c r="AC661" s="1411"/>
      <c r="AD661" s="1411"/>
      <c r="AE661" s="1411"/>
      <c r="AF661" s="1411"/>
      <c r="AG661" s="1411"/>
      <c r="AH661" s="1411"/>
      <c r="AI661" s="1411"/>
      <c r="AJ661" s="1411"/>
      <c r="AK661" s="141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6" t="e">
        <f t="shared" si="42"/>
        <v>#VALUE!</v>
      </c>
      <c r="DY661" s="1476"/>
      <c r="DZ661" s="1476"/>
      <c r="EA661" s="1476"/>
      <c r="EB661" s="1476"/>
      <c r="EC661" s="1476" t="e">
        <f t="shared" si="43"/>
        <v>#VALUE!</v>
      </c>
      <c r="ED661" s="1476"/>
      <c r="EE661" s="1476"/>
      <c r="EF661" s="1476"/>
      <c r="EG661" s="1476"/>
      <c r="EH661" s="1476" t="e">
        <f t="shared" si="44"/>
        <v>#VALUE!</v>
      </c>
      <c r="EI661" s="1476"/>
      <c r="EJ661" s="1476"/>
      <c r="EK661" s="1476"/>
      <c r="EL661" s="1476"/>
      <c r="EM661" s="1476" t="e">
        <f t="shared" si="45"/>
        <v>#VALUE!</v>
      </c>
      <c r="EN661" s="1476"/>
      <c r="EO661" s="1476"/>
      <c r="EP661" s="1476"/>
      <c r="EQ661" s="1476"/>
      <c r="ER661" s="1476" t="e">
        <f t="shared" si="46"/>
        <v>#VALUE!</v>
      </c>
      <c r="ES661" s="1476"/>
      <c r="ET661" s="1476"/>
      <c r="EU661" s="1476"/>
      <c r="EV661" s="1476"/>
      <c r="EW661" s="1476" t="e">
        <f t="shared" si="47"/>
        <v>#VALUE!</v>
      </c>
      <c r="EX661" s="1476"/>
      <c r="EY661" s="1476"/>
      <c r="EZ661" s="1476"/>
      <c r="FA661" s="1476"/>
    </row>
    <row r="662" spans="1:157" ht="13.05" customHeight="1">
      <c r="A662" s="22"/>
      <c r="B662" t="s">
        <v>17</v>
      </c>
      <c r="G662" s="1416"/>
      <c r="H662" s="1416"/>
      <c r="I662" s="1416"/>
      <c r="J662" s="1416"/>
      <c r="K662" s="1416"/>
      <c r="L662" s="1416"/>
      <c r="M662" s="1416"/>
      <c r="N662" s="1416"/>
      <c r="O662" s="1416"/>
      <c r="P662" s="1416"/>
      <c r="Q662" s="1416"/>
      <c r="R662" s="1416"/>
      <c r="T662" s="22"/>
      <c r="U662" t="s">
        <v>17</v>
      </c>
      <c r="Z662" s="1411"/>
      <c r="AA662" s="1411"/>
      <c r="AB662" s="1411"/>
      <c r="AC662" s="1411"/>
      <c r="AD662" s="1411"/>
      <c r="AE662" s="1411"/>
      <c r="AF662" s="1411"/>
      <c r="AG662" s="1411"/>
      <c r="AH662" s="1411"/>
      <c r="AI662" s="1411"/>
      <c r="AJ662" s="1411"/>
      <c r="AK662" s="141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6" t="e">
        <f t="shared" si="42"/>
        <v>#VALUE!</v>
      </c>
      <c r="DY662" s="1476"/>
      <c r="DZ662" s="1476"/>
      <c r="EA662" s="1476"/>
      <c r="EB662" s="1476"/>
      <c r="EC662" s="1476" t="e">
        <f t="shared" si="43"/>
        <v>#VALUE!</v>
      </c>
      <c r="ED662" s="1476"/>
      <c r="EE662" s="1476"/>
      <c r="EF662" s="1476"/>
      <c r="EG662" s="1476"/>
      <c r="EH662" s="1476" t="e">
        <f t="shared" si="44"/>
        <v>#VALUE!</v>
      </c>
      <c r="EI662" s="1476"/>
      <c r="EJ662" s="1476"/>
      <c r="EK662" s="1476"/>
      <c r="EL662" s="1476"/>
      <c r="EM662" s="1476" t="e">
        <f t="shared" si="45"/>
        <v>#VALUE!</v>
      </c>
      <c r="EN662" s="1476"/>
      <c r="EO662" s="1476"/>
      <c r="EP662" s="1476"/>
      <c r="EQ662" s="1476"/>
      <c r="ER662" s="1476" t="e">
        <f t="shared" si="46"/>
        <v>#VALUE!</v>
      </c>
      <c r="ES662" s="1476"/>
      <c r="ET662" s="1476"/>
      <c r="EU662" s="1476"/>
      <c r="EV662" s="1476"/>
      <c r="EW662" s="1476" t="e">
        <f t="shared" si="47"/>
        <v>#VALUE!</v>
      </c>
      <c r="EX662" s="1476"/>
      <c r="EY662" s="1476"/>
      <c r="EZ662" s="1476"/>
      <c r="FA662" s="1476"/>
    </row>
    <row r="663" spans="1:157" ht="13.05" customHeight="1">
      <c r="A663" s="22"/>
      <c r="B663" t="s">
        <v>317</v>
      </c>
      <c r="G663" s="1477"/>
      <c r="H663" s="1477"/>
      <c r="I663" s="1477"/>
      <c r="J663" s="1477"/>
      <c r="K663" s="1477"/>
      <c r="L663" s="1477"/>
      <c r="O663" s="33" t="s">
        <v>207</v>
      </c>
      <c r="P663" s="1441"/>
      <c r="Q663" s="1441"/>
      <c r="R663" s="1441"/>
      <c r="T663" s="22"/>
      <c r="U663" t="s">
        <v>317</v>
      </c>
      <c r="Z663" s="1477"/>
      <c r="AA663" s="1477"/>
      <c r="AB663" s="1477"/>
      <c r="AC663" s="1477"/>
      <c r="AD663" s="1477"/>
      <c r="AE663" s="1477"/>
      <c r="AH663" s="33" t="s">
        <v>207</v>
      </c>
      <c r="AI663" s="1441"/>
      <c r="AJ663" s="1441"/>
      <c r="AK663" s="144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6" t="e">
        <f t="shared" si="42"/>
        <v>#VALUE!</v>
      </c>
      <c r="DY663" s="1476"/>
      <c r="DZ663" s="1476"/>
      <c r="EA663" s="1476"/>
      <c r="EB663" s="1476"/>
      <c r="EC663" s="1476" t="e">
        <f t="shared" si="43"/>
        <v>#VALUE!</v>
      </c>
      <c r="ED663" s="1476"/>
      <c r="EE663" s="1476"/>
      <c r="EF663" s="1476"/>
      <c r="EG663" s="1476"/>
      <c r="EH663" s="1476" t="e">
        <f t="shared" si="44"/>
        <v>#VALUE!</v>
      </c>
      <c r="EI663" s="1476"/>
      <c r="EJ663" s="1476"/>
      <c r="EK663" s="1476"/>
      <c r="EL663" s="1476"/>
      <c r="EM663" s="1476" t="e">
        <f t="shared" si="45"/>
        <v>#VALUE!</v>
      </c>
      <c r="EN663" s="1476"/>
      <c r="EO663" s="1476"/>
      <c r="EP663" s="1476"/>
      <c r="EQ663" s="1476"/>
      <c r="ER663" s="1476" t="e">
        <f t="shared" si="46"/>
        <v>#VALUE!</v>
      </c>
      <c r="ES663" s="1476"/>
      <c r="ET663" s="1476"/>
      <c r="EU663" s="1476"/>
      <c r="EV663" s="1476"/>
      <c r="EW663" s="1476" t="e">
        <f t="shared" si="47"/>
        <v>#VALUE!</v>
      </c>
      <c r="EX663" s="1476"/>
      <c r="EY663" s="1476"/>
      <c r="EZ663" s="1476"/>
      <c r="FA663" s="1476"/>
    </row>
    <row r="664" spans="1:157" ht="13.05" customHeight="1">
      <c r="A664" s="22"/>
      <c r="B664" t="s">
        <v>18</v>
      </c>
      <c r="H664" s="1416"/>
      <c r="I664" s="1416"/>
      <c r="J664" s="1416"/>
      <c r="K664" s="1416"/>
      <c r="L664" s="1416"/>
      <c r="M664" s="1416"/>
      <c r="N664" s="1416"/>
      <c r="O664" s="1416"/>
      <c r="P664" s="1416"/>
      <c r="Q664" s="1416"/>
      <c r="R664" s="1416"/>
      <c r="T664" s="22"/>
      <c r="U664" t="s">
        <v>18</v>
      </c>
      <c r="AA664" s="1416"/>
      <c r="AB664" s="1416"/>
      <c r="AC664" s="1416"/>
      <c r="AD664" s="1416"/>
      <c r="AE664" s="1416"/>
      <c r="AF664" s="1416"/>
      <c r="AG664" s="1416"/>
      <c r="AH664" s="1416"/>
      <c r="AI664" s="1416"/>
      <c r="AJ664" s="1416"/>
      <c r="AK664" s="141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6" t="e">
        <f t="shared" si="42"/>
        <v>#VALUE!</v>
      </c>
      <c r="DY664" s="1476"/>
      <c r="DZ664" s="1476"/>
      <c r="EA664" s="1476"/>
      <c r="EB664" s="1476"/>
      <c r="EC664" s="1476" t="e">
        <f t="shared" si="43"/>
        <v>#VALUE!</v>
      </c>
      <c r="ED664" s="1476"/>
      <c r="EE664" s="1476"/>
      <c r="EF664" s="1476"/>
      <c r="EG664" s="1476"/>
      <c r="EH664" s="1476" t="e">
        <f t="shared" si="44"/>
        <v>#VALUE!</v>
      </c>
      <c r="EI664" s="1476"/>
      <c r="EJ664" s="1476"/>
      <c r="EK664" s="1476"/>
      <c r="EL664" s="1476"/>
      <c r="EM664" s="1476" t="e">
        <f t="shared" si="45"/>
        <v>#VALUE!</v>
      </c>
      <c r="EN664" s="1476"/>
      <c r="EO664" s="1476"/>
      <c r="EP664" s="1476"/>
      <c r="EQ664" s="1476"/>
      <c r="ER664" s="1476" t="e">
        <f t="shared" si="46"/>
        <v>#VALUE!</v>
      </c>
      <c r="ES664" s="1476"/>
      <c r="ET664" s="1476"/>
      <c r="EU664" s="1476"/>
      <c r="EV664" s="1476"/>
      <c r="EW664" s="1476" t="e">
        <f t="shared" si="47"/>
        <v>#VALUE!</v>
      </c>
      <c r="EX664" s="1476"/>
      <c r="EY664" s="1476"/>
      <c r="EZ664" s="1476"/>
      <c r="FA664" s="1476"/>
    </row>
    <row r="665" spans="1:157" ht="13.05" customHeight="1">
      <c r="A665" s="22"/>
      <c r="B665" t="s">
        <v>20</v>
      </c>
      <c r="N665" s="1415"/>
      <c r="O665" s="1415"/>
      <c r="T665" s="22"/>
      <c r="U665" t="s">
        <v>20</v>
      </c>
      <c r="AG665" s="1415"/>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6" t="e">
        <f t="shared" si="42"/>
        <v>#VALUE!</v>
      </c>
      <c r="DY665" s="1476"/>
      <c r="DZ665" s="1476"/>
      <c r="EA665" s="1476"/>
      <c r="EB665" s="1476"/>
      <c r="EC665" s="1476" t="e">
        <f t="shared" si="43"/>
        <v>#VALUE!</v>
      </c>
      <c r="ED665" s="1476"/>
      <c r="EE665" s="1476"/>
      <c r="EF665" s="1476"/>
      <c r="EG665" s="1476"/>
      <c r="EH665" s="1476" t="e">
        <f t="shared" si="44"/>
        <v>#VALUE!</v>
      </c>
      <c r="EI665" s="1476"/>
      <c r="EJ665" s="1476"/>
      <c r="EK665" s="1476"/>
      <c r="EL665" s="1476"/>
      <c r="EM665" s="1476" t="e">
        <f t="shared" si="45"/>
        <v>#VALUE!</v>
      </c>
      <c r="EN665" s="1476"/>
      <c r="EO665" s="1476"/>
      <c r="EP665" s="1476"/>
      <c r="EQ665" s="1476"/>
      <c r="ER665" s="1476" t="e">
        <f t="shared" si="46"/>
        <v>#VALUE!</v>
      </c>
      <c r="ES665" s="1476"/>
      <c r="ET665" s="1476"/>
      <c r="EU665" s="1476"/>
      <c r="EV665" s="1476"/>
      <c r="EW665" s="1476" t="e">
        <f t="shared" si="47"/>
        <v>#VALUE!</v>
      </c>
      <c r="EX665" s="1476"/>
      <c r="EY665" s="1476"/>
      <c r="EZ665" s="1476"/>
      <c r="FA665" s="1476"/>
    </row>
    <row r="666" spans="1:157" ht="13.0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6" t="e">
        <f t="shared" si="42"/>
        <v>#VALUE!</v>
      </c>
      <c r="DY666" s="1476"/>
      <c r="DZ666" s="1476"/>
      <c r="EA666" s="1476"/>
      <c r="EB666" s="1476"/>
      <c r="EC666" s="1476" t="e">
        <f t="shared" si="43"/>
        <v>#VALUE!</v>
      </c>
      <c r="ED666" s="1476"/>
      <c r="EE666" s="1476"/>
      <c r="EF666" s="1476"/>
      <c r="EG666" s="1476"/>
      <c r="EH666" s="1476" t="e">
        <f t="shared" si="44"/>
        <v>#VALUE!</v>
      </c>
      <c r="EI666" s="1476"/>
      <c r="EJ666" s="1476"/>
      <c r="EK666" s="1476"/>
      <c r="EL666" s="1476"/>
      <c r="EM666" s="1476" t="e">
        <f t="shared" si="45"/>
        <v>#VALUE!</v>
      </c>
      <c r="EN666" s="1476"/>
      <c r="EO666" s="1476"/>
      <c r="EP666" s="1476"/>
      <c r="EQ666" s="1476"/>
      <c r="ER666" s="1476" t="e">
        <f t="shared" si="46"/>
        <v>#VALUE!</v>
      </c>
      <c r="ES666" s="1476"/>
      <c r="ET666" s="1476"/>
      <c r="EU666" s="1476"/>
      <c r="EV666" s="1476"/>
      <c r="EW666" s="1476" t="e">
        <f t="shared" si="47"/>
        <v>#VALUE!</v>
      </c>
      <c r="EX666" s="1476"/>
      <c r="EY666" s="1476"/>
      <c r="EZ666" s="1476"/>
      <c r="FA666" s="1476"/>
    </row>
    <row r="667" spans="1:157" ht="13.05" customHeight="1">
      <c r="A667" s="55" t="s">
        <v>463</v>
      </c>
      <c r="B667" t="s">
        <v>471</v>
      </c>
      <c r="G667" s="1417">
        <f>C633</f>
        <v>0</v>
      </c>
      <c r="H667" s="1417"/>
      <c r="I667" s="1417"/>
      <c r="J667" s="1417"/>
      <c r="K667" s="1417"/>
      <c r="L667" s="1417"/>
      <c r="M667" s="1417"/>
      <c r="N667" s="1417"/>
      <c r="O667" s="1417"/>
      <c r="P667" s="1417"/>
      <c r="Q667" s="1417"/>
      <c r="R667" s="1417"/>
      <c r="T667" s="55" t="s">
        <v>464</v>
      </c>
      <c r="U667" t="s">
        <v>471</v>
      </c>
      <c r="Z667" s="1417">
        <f>C634</f>
        <v>0</v>
      </c>
      <c r="AA667" s="1417"/>
      <c r="AB667" s="1417"/>
      <c r="AC667" s="1417"/>
      <c r="AD667" s="1417"/>
      <c r="AE667" s="1417"/>
      <c r="AF667" s="1417"/>
      <c r="AG667" s="1417"/>
      <c r="AH667" s="1417"/>
      <c r="AI667" s="1417"/>
      <c r="AJ667" s="1417"/>
      <c r="AK667" s="1417"/>
      <c r="AZ667" s="3"/>
      <c r="BA667" s="118">
        <f t="shared" ref="BA667:BA699" si="48">IF($G718=0,"N/A",VLOOKUP($T$189,TC_Rent,(MATCH($B718,bedrooms,FALSE))))</f>
        <v>3396</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6" t="e">
        <f t="shared" si="42"/>
        <v>#VALUE!</v>
      </c>
      <c r="DY667" s="1476"/>
      <c r="DZ667" s="1476"/>
      <c r="EA667" s="1476"/>
      <c r="EB667" s="1476"/>
      <c r="EC667" s="1476" t="e">
        <f t="shared" si="43"/>
        <v>#VALUE!</v>
      </c>
      <c r="ED667" s="1476"/>
      <c r="EE667" s="1476"/>
      <c r="EF667" s="1476"/>
      <c r="EG667" s="1476"/>
      <c r="EH667" s="1476" t="e">
        <f t="shared" si="44"/>
        <v>#VALUE!</v>
      </c>
      <c r="EI667" s="1476"/>
      <c r="EJ667" s="1476"/>
      <c r="EK667" s="1476"/>
      <c r="EL667" s="1476"/>
      <c r="EM667" s="1476" t="e">
        <f t="shared" si="45"/>
        <v>#VALUE!</v>
      </c>
      <c r="EN667" s="1476"/>
      <c r="EO667" s="1476"/>
      <c r="EP667" s="1476"/>
      <c r="EQ667" s="1476"/>
      <c r="ER667" s="1476" t="e">
        <f t="shared" si="46"/>
        <v>#VALUE!</v>
      </c>
      <c r="ES667" s="1476"/>
      <c r="ET667" s="1476"/>
      <c r="EU667" s="1476"/>
      <c r="EV667" s="1476"/>
      <c r="EW667" s="1476" t="e">
        <f t="shared" si="47"/>
        <v>#VALUE!</v>
      </c>
      <c r="EX667" s="1476"/>
      <c r="EY667" s="1476"/>
      <c r="EZ667" s="1476"/>
      <c r="FA667" s="1476"/>
    </row>
    <row r="668" spans="1:157" ht="13.05" customHeight="1">
      <c r="A668" s="22"/>
      <c r="B668" t="s">
        <v>85</v>
      </c>
      <c r="G668" s="1416"/>
      <c r="H668" s="1416"/>
      <c r="I668" s="1416"/>
      <c r="J668" s="1416"/>
      <c r="K668" s="1416"/>
      <c r="L668" s="1416"/>
      <c r="M668" s="1416"/>
      <c r="N668" s="1416"/>
      <c r="O668" s="1416"/>
      <c r="P668" s="1416"/>
      <c r="Q668" s="1416"/>
      <c r="R668" s="1416"/>
      <c r="T668" s="22"/>
      <c r="U668" t="s">
        <v>85</v>
      </c>
      <c r="Z668" s="1416"/>
      <c r="AA668" s="1416"/>
      <c r="AB668" s="1416"/>
      <c r="AC668" s="1416"/>
      <c r="AD668" s="1416"/>
      <c r="AE668" s="1416"/>
      <c r="AF668" s="1416"/>
      <c r="AG668" s="1416"/>
      <c r="AH668" s="1416"/>
      <c r="AI668" s="1416"/>
      <c r="AJ668" s="1416"/>
      <c r="AK668" s="1416"/>
      <c r="AZ668" s="3"/>
      <c r="BA668" s="118">
        <f t="shared" si="48"/>
        <v>3396</v>
      </c>
      <c r="BB668" s="3"/>
      <c r="BC668" s="3"/>
      <c r="BD668" s="3"/>
      <c r="BE668" s="3"/>
      <c r="BF668" s="218"/>
      <c r="BG668" s="315">
        <f t="shared" ref="BG668:BG700" si="49">G718</f>
        <v>1</v>
      </c>
      <c r="BH668" s="319">
        <f t="shared" ref="BH668:BH702" si="50">IF($BG$703=0,0,BG668/$BG$703)</f>
        <v>1.0101010101010102E-2</v>
      </c>
      <c r="BI668" s="320">
        <f t="shared" ref="BI668:BI691" si="51">IF(BH668=0,"",BH668*AC718)</f>
        <v>6.0606060606060606E-3</v>
      </c>
      <c r="BJ668" s="3"/>
      <c r="BK668" s="3"/>
      <c r="BL668" s="3"/>
      <c r="BM668" s="3"/>
      <c r="BN668" s="3"/>
      <c r="BO668" s="3"/>
      <c r="BT668" s="315">
        <f t="shared" ref="BT668:BT700" si="52">G718</f>
        <v>1</v>
      </c>
      <c r="BU668" s="319">
        <f t="shared" ref="BU668:BU702" si="53">IF($BT$703=0,0,BT668/$BT$703)</f>
        <v>1.0101010101010102E-2</v>
      </c>
      <c r="BV668" s="320">
        <f t="shared" ref="BV668:BV700" si="54">IF(BU668=0,"",BU668*AH718)</f>
        <v>4.8690675899156471E-3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6" t="e">
        <f>DX630*(BN630/$BN$632)</f>
        <v>#VALUE!</v>
      </c>
      <c r="DY668" s="1476"/>
      <c r="DZ668" s="1476"/>
      <c r="EA668" s="1476"/>
      <c r="EB668" s="1476"/>
      <c r="EC668" s="1476" t="e">
        <f>EC630*(BS630/$BS$632)</f>
        <v>#VALUE!</v>
      </c>
      <c r="ED668" s="1476"/>
      <c r="EE668" s="1476"/>
      <c r="EF668" s="1476"/>
      <c r="EG668" s="1476"/>
      <c r="EH668" s="1476" t="e">
        <f>EH630*(BX630/$BX$632)</f>
        <v>#VALUE!</v>
      </c>
      <c r="EI668" s="1476"/>
      <c r="EJ668" s="1476"/>
      <c r="EK668" s="1476"/>
      <c r="EL668" s="1476"/>
      <c r="EM668" s="1476" t="e">
        <f>EM630*(CC630/$CC$632)</f>
        <v>#VALUE!</v>
      </c>
      <c r="EN668" s="1476"/>
      <c r="EO668" s="1476"/>
      <c r="EP668" s="1476"/>
      <c r="EQ668" s="1476"/>
      <c r="ER668" s="1476" t="e">
        <f>ER630*(CH630/$CH$632)</f>
        <v>#VALUE!</v>
      </c>
      <c r="ES668" s="1476"/>
      <c r="ET668" s="1476"/>
      <c r="EU668" s="1476"/>
      <c r="EV668" s="1476"/>
      <c r="EW668" s="1476" t="e">
        <f>EW630*(CM630/$CM$632)</f>
        <v>#VALUE!</v>
      </c>
      <c r="EX668" s="1476"/>
      <c r="EY668" s="1476"/>
      <c r="EZ668" s="1476"/>
      <c r="FA668" s="1476"/>
    </row>
    <row r="669" spans="1:157" ht="13.05" customHeight="1">
      <c r="A669" s="22"/>
      <c r="B669" t="s">
        <v>588</v>
      </c>
      <c r="G669" s="1416"/>
      <c r="H669" s="1416"/>
      <c r="I669" s="1416"/>
      <c r="J669" s="1416"/>
      <c r="K669" s="1416"/>
      <c r="L669" s="1416"/>
      <c r="M669" s="1416"/>
      <c r="N669" s="1416"/>
      <c r="O669" s="1416"/>
      <c r="P669" s="1416"/>
      <c r="Q669" s="1416"/>
      <c r="R669" s="1416"/>
      <c r="T669" s="22"/>
      <c r="U669" t="s">
        <v>588</v>
      </c>
      <c r="Z669" s="1411"/>
      <c r="AA669" s="1411"/>
      <c r="AB669" s="1411"/>
      <c r="AC669" s="1411"/>
      <c r="AD669" s="1411"/>
      <c r="AE669" s="1411"/>
      <c r="AF669" s="1411"/>
      <c r="AG669" s="1411"/>
      <c r="AH669" s="1411"/>
      <c r="AI669" s="1411"/>
      <c r="AJ669" s="1411"/>
      <c r="AK669" s="1411"/>
      <c r="AZ669" s="3"/>
      <c r="BA669" s="118">
        <f t="shared" si="48"/>
        <v>3396</v>
      </c>
      <c r="BB669" s="3"/>
      <c r="BC669" s="3"/>
      <c r="BD669" s="3"/>
      <c r="BE669" s="3"/>
      <c r="BF669" s="218"/>
      <c r="BG669" s="316">
        <f t="shared" si="49"/>
        <v>10</v>
      </c>
      <c r="BH669" s="319">
        <f t="shared" si="50"/>
        <v>0.10101010101010101</v>
      </c>
      <c r="BI669" s="320">
        <f t="shared" si="51"/>
        <v>5.0505050505050504E-2</v>
      </c>
      <c r="BJ669" s="3"/>
      <c r="BK669" s="3"/>
      <c r="BL669" s="3"/>
      <c r="BM669" s="3"/>
      <c r="BN669" s="3"/>
      <c r="BO669" s="3"/>
      <c r="BT669" s="316">
        <f t="shared" si="52"/>
        <v>10</v>
      </c>
      <c r="BU669" s="319">
        <f t="shared" si="53"/>
        <v>0.10101010101010101</v>
      </c>
      <c r="BV669" s="320">
        <f t="shared" si="54"/>
        <v>4.869067589915646E-2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6" t="e">
        <f>DX631*(BN631/$BN$632)</f>
        <v>#VALUE!</v>
      </c>
      <c r="DY669" s="1476"/>
      <c r="DZ669" s="1476"/>
      <c r="EA669" s="1476"/>
      <c r="EB669" s="1476"/>
      <c r="EC669" s="1476" t="e">
        <f>EC631*(BS631/$BS$632)</f>
        <v>#VALUE!</v>
      </c>
      <c r="ED669" s="1476"/>
      <c r="EE669" s="1476"/>
      <c r="EF669" s="1476"/>
      <c r="EG669" s="1476"/>
      <c r="EH669" s="1476" t="e">
        <f>EH631*(BX631/$BX$632)</f>
        <v>#VALUE!</v>
      </c>
      <c r="EI669" s="1476"/>
      <c r="EJ669" s="1476"/>
      <c r="EK669" s="1476"/>
      <c r="EL669" s="1476"/>
      <c r="EM669" s="1476" t="e">
        <f>EM631*(CC631/$CC$632)</f>
        <v>#VALUE!</v>
      </c>
      <c r="EN669" s="1476"/>
      <c r="EO669" s="1476"/>
      <c r="EP669" s="1476"/>
      <c r="EQ669" s="1476"/>
      <c r="ER669" s="1476" t="e">
        <f>ER631*(CH631/$CH$632)</f>
        <v>#VALUE!</v>
      </c>
      <c r="ES669" s="1476"/>
      <c r="ET669" s="1476"/>
      <c r="EU669" s="1476"/>
      <c r="EV669" s="1476"/>
      <c r="EW669" s="1476" t="e">
        <f>EW631*(CM631/$CM$632)</f>
        <v>#VALUE!</v>
      </c>
      <c r="EX669" s="1476"/>
      <c r="EY669" s="1476"/>
      <c r="EZ669" s="1476"/>
      <c r="FA669" s="1476"/>
    </row>
    <row r="670" spans="1:157" ht="13.05" customHeight="1">
      <c r="A670" s="22"/>
      <c r="B670" t="s">
        <v>17</v>
      </c>
      <c r="G670" s="1416"/>
      <c r="H670" s="1416"/>
      <c r="I670" s="1416"/>
      <c r="J670" s="1416"/>
      <c r="K670" s="1416"/>
      <c r="L670" s="1416"/>
      <c r="M670" s="1416"/>
      <c r="N670" s="1416"/>
      <c r="O670" s="1416"/>
      <c r="P670" s="1416"/>
      <c r="Q670" s="1416"/>
      <c r="R670" s="1416"/>
      <c r="T670" s="22"/>
      <c r="U670" t="s">
        <v>17</v>
      </c>
      <c r="Z670" s="1411"/>
      <c r="AA670" s="1411"/>
      <c r="AB670" s="1411"/>
      <c r="AC670" s="1411"/>
      <c r="AD670" s="1411"/>
      <c r="AE670" s="1411"/>
      <c r="AF670" s="1411"/>
      <c r="AG670" s="1411"/>
      <c r="AH670" s="1411"/>
      <c r="AI670" s="1411"/>
      <c r="AJ670" s="1411"/>
      <c r="AK670" s="1411"/>
      <c r="AZ670" s="3"/>
      <c r="BA670" s="118">
        <f t="shared" si="48"/>
        <v>4074</v>
      </c>
      <c r="BB670" s="3"/>
      <c r="BC670" s="3"/>
      <c r="BD670" s="3"/>
      <c r="BE670" s="3"/>
      <c r="BF670" s="218"/>
      <c r="BG670" s="316">
        <f t="shared" si="49"/>
        <v>10</v>
      </c>
      <c r="BH670" s="319">
        <f t="shared" si="50"/>
        <v>0.10101010101010101</v>
      </c>
      <c r="BI670" s="320">
        <f t="shared" si="51"/>
        <v>3.03030303030303E-2</v>
      </c>
      <c r="BJ670" s="3"/>
      <c r="BK670" s="3"/>
      <c r="BL670" s="3"/>
      <c r="BM670" s="3"/>
      <c r="BN670" s="3"/>
      <c r="BO670" s="3"/>
      <c r="BT670" s="316">
        <f t="shared" si="52"/>
        <v>10</v>
      </c>
      <c r="BU670" s="319">
        <f t="shared" si="53"/>
        <v>0.10101010101010101</v>
      </c>
      <c r="BV670" s="320">
        <f t="shared" si="54"/>
        <v>3.0279235226231695E-2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6">
        <f>SUMIF(DX635:EB669,"&gt;0")</f>
        <v>0</v>
      </c>
      <c r="DY670" s="1476"/>
      <c r="DZ670" s="1476"/>
      <c r="EA670" s="1476"/>
      <c r="EB670" s="1476"/>
      <c r="EC670" s="1476">
        <f>SUMIF(EC635:EG669,"&gt;0")</f>
        <v>1242.238095238095</v>
      </c>
      <c r="ED670" s="1476"/>
      <c r="EE670" s="1476"/>
      <c r="EF670" s="1476"/>
      <c r="EG670" s="1476"/>
      <c r="EH670" s="1476">
        <f>SUMIF(EH635:EL669,"&gt;0")</f>
        <v>2113.25</v>
      </c>
      <c r="EI670" s="1476"/>
      <c r="EJ670" s="1476"/>
      <c r="EK670" s="1476"/>
      <c r="EL670" s="1476"/>
      <c r="EM670" s="1476">
        <f>SUMIF(EM635:EQ669,"&gt;0")</f>
        <v>2609.9473684210525</v>
      </c>
      <c r="EN670" s="1476"/>
      <c r="EO670" s="1476"/>
      <c r="EP670" s="1476"/>
      <c r="EQ670" s="1476"/>
      <c r="ER670" s="1476">
        <f>SUMIF(ER635:EV669,"&gt;0")</f>
        <v>0</v>
      </c>
      <c r="ES670" s="1476"/>
      <c r="ET670" s="1476"/>
      <c r="EU670" s="1476"/>
      <c r="EV670" s="1476"/>
      <c r="EW670" s="1476">
        <f>SUMIF(EW635:FA669,"&gt;0")</f>
        <v>0</v>
      </c>
      <c r="EX670" s="1476"/>
      <c r="EY670" s="1476"/>
      <c r="EZ670" s="1476"/>
      <c r="FA670" s="1476"/>
    </row>
    <row r="671" spans="1:157" ht="13.05" customHeight="1">
      <c r="A671" s="22"/>
      <c r="B671" t="s">
        <v>317</v>
      </c>
      <c r="G671" s="1477"/>
      <c r="H671" s="1477"/>
      <c r="I671" s="1477"/>
      <c r="J671" s="1477"/>
      <c r="K671" s="1477"/>
      <c r="L671" s="1477"/>
      <c r="O671" s="33" t="s">
        <v>207</v>
      </c>
      <c r="P671" s="1441"/>
      <c r="Q671" s="1441"/>
      <c r="R671" s="1441"/>
      <c r="T671" s="22"/>
      <c r="U671" t="s">
        <v>317</v>
      </c>
      <c r="Z671" s="1477"/>
      <c r="AA671" s="1477"/>
      <c r="AB671" s="1477"/>
      <c r="AC671" s="1477"/>
      <c r="AD671" s="1477"/>
      <c r="AE671" s="1477"/>
      <c r="AH671" s="33" t="s">
        <v>207</v>
      </c>
      <c r="AI671" s="1441"/>
      <c r="AJ671" s="1441"/>
      <c r="AK671" s="1441"/>
      <c r="AZ671" s="3"/>
      <c r="BA671" s="118">
        <f t="shared" si="48"/>
        <v>4074</v>
      </c>
      <c r="BB671" s="3"/>
      <c r="BC671" s="3"/>
      <c r="BD671" s="3"/>
      <c r="BE671" s="3"/>
      <c r="BF671" s="218"/>
      <c r="BG671" s="316">
        <f t="shared" si="49"/>
        <v>25</v>
      </c>
      <c r="BH671" s="319">
        <f t="shared" si="50"/>
        <v>0.25252525252525254</v>
      </c>
      <c r="BI671" s="320">
        <f t="shared" si="51"/>
        <v>0.17676767676767677</v>
      </c>
      <c r="BJ671" s="3"/>
      <c r="BK671" s="3"/>
      <c r="BL671" s="3"/>
      <c r="BM671" s="3"/>
      <c r="BN671" s="3"/>
      <c r="BO671" s="3"/>
      <c r="BT671" s="316">
        <f t="shared" si="52"/>
        <v>25</v>
      </c>
      <c r="BU671" s="319">
        <f t="shared" si="53"/>
        <v>0.25252525252525254</v>
      </c>
      <c r="BV671" s="320">
        <f t="shared" si="54"/>
        <v>0.1635773542990038</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05" customHeight="1">
      <c r="A672" s="22"/>
      <c r="B672" t="s">
        <v>18</v>
      </c>
      <c r="H672" s="1416"/>
      <c r="I672" s="1416"/>
      <c r="J672" s="1416"/>
      <c r="K672" s="1416"/>
      <c r="L672" s="1416"/>
      <c r="M672" s="1416"/>
      <c r="N672" s="1416"/>
      <c r="O672" s="1416"/>
      <c r="P672" s="1416"/>
      <c r="Q672" s="1416"/>
      <c r="R672" s="1416"/>
      <c r="T672" s="22"/>
      <c r="U672" t="s">
        <v>18</v>
      </c>
      <c r="AA672" s="1416"/>
      <c r="AB672" s="1416"/>
      <c r="AC672" s="1416"/>
      <c r="AD672" s="1416"/>
      <c r="AE672" s="1416"/>
      <c r="AF672" s="1416"/>
      <c r="AG672" s="1416"/>
      <c r="AH672" s="1416"/>
      <c r="AI672" s="1416"/>
      <c r="AJ672" s="1416"/>
      <c r="AK672" s="1416"/>
      <c r="AZ672" s="3"/>
      <c r="BA672" s="118">
        <f t="shared" si="48"/>
        <v>4074</v>
      </c>
      <c r="BB672" s="3"/>
      <c r="BC672" s="3"/>
      <c r="BD672" s="3"/>
      <c r="BE672" s="3"/>
      <c r="BF672" s="218"/>
      <c r="BG672" s="316">
        <f t="shared" si="49"/>
        <v>7</v>
      </c>
      <c r="BH672" s="319">
        <f t="shared" si="50"/>
        <v>7.0707070707070704E-2</v>
      </c>
      <c r="BI672" s="320">
        <f t="shared" si="51"/>
        <v>3.5353535353535352E-2</v>
      </c>
      <c r="BJ672" s="3"/>
      <c r="BK672" s="3"/>
      <c r="BL672" s="3"/>
      <c r="BM672" s="3"/>
      <c r="BN672" s="3"/>
      <c r="BO672" s="3"/>
      <c r="BT672" s="316">
        <f t="shared" si="52"/>
        <v>7</v>
      </c>
      <c r="BU672" s="319">
        <f t="shared" si="53"/>
        <v>7.0707070707070704E-2</v>
      </c>
      <c r="BV672" s="320">
        <f t="shared" si="54"/>
        <v>3.5353535353535352E-2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05" customHeight="1">
      <c r="A673" s="22"/>
      <c r="B673" t="s">
        <v>20</v>
      </c>
      <c r="N673" s="1415" t="s">
        <v>676</v>
      </c>
      <c r="O673" s="1415"/>
      <c r="T673" s="22"/>
      <c r="U673" t="s">
        <v>20</v>
      </c>
      <c r="AG673" s="1415" t="s">
        <v>676</v>
      </c>
      <c r="AH673" s="1415"/>
      <c r="AZ673" s="3"/>
      <c r="BA673" s="118">
        <f t="shared" si="48"/>
        <v>4708</v>
      </c>
      <c r="BB673" s="3"/>
      <c r="BC673" s="3"/>
      <c r="BD673" s="3"/>
      <c r="BE673" s="3"/>
      <c r="BF673" s="218"/>
      <c r="BG673" s="316">
        <f t="shared" si="49"/>
        <v>8</v>
      </c>
      <c r="BH673" s="319">
        <f t="shared" si="50"/>
        <v>8.0808080808080815E-2</v>
      </c>
      <c r="BI673" s="320">
        <f t="shared" si="51"/>
        <v>2.4242424242424242E-2</v>
      </c>
      <c r="BJ673" s="3"/>
      <c r="BK673" s="3"/>
      <c r="BL673" s="3"/>
      <c r="BM673" s="3"/>
      <c r="BN673" s="3"/>
      <c r="BO673" s="3"/>
      <c r="BT673" s="316">
        <f t="shared" si="52"/>
        <v>8</v>
      </c>
      <c r="BU673" s="319">
        <f t="shared" si="53"/>
        <v>8.0808080808080815E-2</v>
      </c>
      <c r="BV673" s="320">
        <f t="shared" si="54"/>
        <v>2.423845722814795E-2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05" customHeight="1">
      <c r="A674" s="22"/>
      <c r="T674" s="22"/>
      <c r="AZ674" s="3"/>
      <c r="BA674" s="118">
        <f t="shared" si="48"/>
        <v>4708</v>
      </c>
      <c r="BB674" s="3"/>
      <c r="BC674" s="3"/>
      <c r="BD674" s="3"/>
      <c r="BE674" s="3"/>
      <c r="BF674" s="218"/>
      <c r="BG674" s="316">
        <f t="shared" si="49"/>
        <v>30</v>
      </c>
      <c r="BH674" s="319">
        <f t="shared" si="50"/>
        <v>0.30303030303030304</v>
      </c>
      <c r="BI674" s="320">
        <f t="shared" si="51"/>
        <v>0.21212121212121213</v>
      </c>
      <c r="BJ674" s="3"/>
      <c r="BK674" s="3"/>
      <c r="BL674" s="3"/>
      <c r="BM674" s="3"/>
      <c r="BN674" s="3"/>
      <c r="BO674" s="3"/>
      <c r="BT674" s="316">
        <f t="shared" si="52"/>
        <v>30</v>
      </c>
      <c r="BU674" s="319">
        <f t="shared" si="53"/>
        <v>0.30303030303030304</v>
      </c>
      <c r="BV674" s="320">
        <f t="shared" si="54"/>
        <v>0.19489714476970213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05" customHeight="1">
      <c r="A675" s="55" t="s">
        <v>469</v>
      </c>
      <c r="B675" t="s">
        <v>471</v>
      </c>
      <c r="G675" s="1417">
        <f>C635</f>
        <v>0</v>
      </c>
      <c r="H675" s="1417"/>
      <c r="I675" s="1417"/>
      <c r="J675" s="1417"/>
      <c r="K675" s="1417"/>
      <c r="L675" s="1417"/>
      <c r="M675" s="1417"/>
      <c r="N675" s="1417"/>
      <c r="O675" s="1417"/>
      <c r="P675" s="1417"/>
      <c r="Q675" s="1417"/>
      <c r="R675" s="1417"/>
      <c r="T675" s="55" t="s">
        <v>653</v>
      </c>
      <c r="U675" t="s">
        <v>471</v>
      </c>
      <c r="Z675" s="1417">
        <f>C636</f>
        <v>0</v>
      </c>
      <c r="AA675" s="1417"/>
      <c r="AB675" s="1417"/>
      <c r="AC675" s="1417"/>
      <c r="AD675" s="1417"/>
      <c r="AE675" s="1417"/>
      <c r="AF675" s="1417"/>
      <c r="AG675" s="1417"/>
      <c r="AH675" s="1417"/>
      <c r="AI675" s="1417"/>
      <c r="AJ675" s="1417"/>
      <c r="AK675" s="1417"/>
      <c r="AZ675" s="3"/>
      <c r="BA675" s="118">
        <f t="shared" si="48"/>
        <v>4708</v>
      </c>
      <c r="BB675" s="3"/>
      <c r="BC675" s="3"/>
      <c r="BD675" s="3"/>
      <c r="BE675" s="3"/>
      <c r="BF675" s="218"/>
      <c r="BG675" s="316">
        <f t="shared" si="49"/>
        <v>3</v>
      </c>
      <c r="BH675" s="319">
        <f t="shared" si="50"/>
        <v>3.0303030303030304E-2</v>
      </c>
      <c r="BI675" s="320">
        <f t="shared" si="51"/>
        <v>1.5151515151515152E-2</v>
      </c>
      <c r="BJ675" s="3"/>
      <c r="BK675" s="3"/>
      <c r="BL675" s="3"/>
      <c r="BM675" s="3"/>
      <c r="BN675" s="3"/>
      <c r="BO675" s="3"/>
      <c r="BT675" s="316">
        <f t="shared" si="52"/>
        <v>3</v>
      </c>
      <c r="BU675" s="319">
        <f t="shared" si="53"/>
        <v>3.0303030303030304E-2</v>
      </c>
      <c r="BV675" s="320">
        <f t="shared" si="54"/>
        <v>1.5151515151515152E-2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05" customHeight="1">
      <c r="A676" s="22"/>
      <c r="B676" t="s">
        <v>85</v>
      </c>
      <c r="G676" s="1416"/>
      <c r="H676" s="1416"/>
      <c r="I676" s="1416"/>
      <c r="J676" s="1416"/>
      <c r="K676" s="1416"/>
      <c r="L676" s="1416"/>
      <c r="M676" s="1416"/>
      <c r="N676" s="1416"/>
      <c r="O676" s="1416"/>
      <c r="P676" s="1416"/>
      <c r="Q676" s="1416"/>
      <c r="R676" s="1416"/>
      <c r="T676" s="22"/>
      <c r="U676" t="s">
        <v>85</v>
      </c>
      <c r="Z676" s="1416"/>
      <c r="AA676" s="1416"/>
      <c r="AB676" s="1416"/>
      <c r="AC676" s="1416"/>
      <c r="AD676" s="1416"/>
      <c r="AE676" s="1416"/>
      <c r="AF676" s="1416"/>
      <c r="AG676" s="1416"/>
      <c r="AH676" s="1416"/>
      <c r="AI676" s="1416"/>
      <c r="AJ676" s="1416"/>
      <c r="AK676" s="1416"/>
      <c r="AZ676" s="3"/>
      <c r="BA676" s="118">
        <f t="shared" si="48"/>
        <v>4708</v>
      </c>
      <c r="BB676" s="3"/>
      <c r="BC676" s="3"/>
      <c r="BD676" s="3"/>
      <c r="BE676" s="3"/>
      <c r="BF676" s="218"/>
      <c r="BG676" s="316">
        <f t="shared" si="49"/>
        <v>1</v>
      </c>
      <c r="BH676" s="319">
        <f t="shared" si="50"/>
        <v>1.0101010101010102E-2</v>
      </c>
      <c r="BI676" s="320">
        <f t="shared" si="51"/>
        <v>5.0505050505050509E-3</v>
      </c>
      <c r="BJ676" s="3"/>
      <c r="BK676" s="3"/>
      <c r="BL676" s="3"/>
      <c r="BM676" s="3"/>
      <c r="BN676" s="3"/>
      <c r="BO676" s="3"/>
      <c r="BT676" s="316">
        <f t="shared" si="52"/>
        <v>1</v>
      </c>
      <c r="BU676" s="319">
        <f t="shared" si="53"/>
        <v>1.0101010101010102E-2</v>
      </c>
      <c r="BV676" s="320">
        <f t="shared" si="54"/>
        <v>5.0505050505050509E-3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05" customHeight="1">
      <c r="A677" s="22"/>
      <c r="B677" t="s">
        <v>588</v>
      </c>
      <c r="G677" s="1416"/>
      <c r="H677" s="1416"/>
      <c r="I677" s="1416"/>
      <c r="J677" s="1416"/>
      <c r="K677" s="1416"/>
      <c r="L677" s="1416"/>
      <c r="M677" s="1416"/>
      <c r="N677" s="1416"/>
      <c r="O677" s="1416"/>
      <c r="P677" s="1416"/>
      <c r="Q677" s="1416"/>
      <c r="R677" s="1416"/>
      <c r="T677" s="22"/>
      <c r="U677" t="s">
        <v>588</v>
      </c>
      <c r="Z677" s="1411"/>
      <c r="AA677" s="1411"/>
      <c r="AB677" s="1411"/>
      <c r="AC677" s="1411"/>
      <c r="AD677" s="1411"/>
      <c r="AE677" s="1411"/>
      <c r="AF677" s="1411"/>
      <c r="AG677" s="1411"/>
      <c r="AH677" s="1411"/>
      <c r="AI677" s="1411"/>
      <c r="AJ677" s="1411"/>
      <c r="AK677" s="1411"/>
      <c r="AZ677" s="3"/>
      <c r="BA677" s="118" t="str">
        <f t="shared" si="48"/>
        <v>N/A</v>
      </c>
      <c r="BB677" s="3"/>
      <c r="BC677" s="3"/>
      <c r="BD677" s="3"/>
      <c r="BE677" s="3"/>
      <c r="BF677" s="218"/>
      <c r="BG677" s="316">
        <f t="shared" si="49"/>
        <v>4</v>
      </c>
      <c r="BH677" s="319">
        <f t="shared" si="50"/>
        <v>4.0404040404040407E-2</v>
      </c>
      <c r="BI677" s="320">
        <f t="shared" si="51"/>
        <v>1.2121212121212121E-2</v>
      </c>
      <c r="BJ677" s="3"/>
      <c r="BK677" s="3"/>
      <c r="BL677" s="3"/>
      <c r="BM677" s="3"/>
      <c r="BN677" s="3"/>
      <c r="BO677" s="3"/>
      <c r="BT677" s="316">
        <f t="shared" si="52"/>
        <v>4</v>
      </c>
      <c r="BU677" s="319">
        <f t="shared" si="53"/>
        <v>4.0404040404040407E-2</v>
      </c>
      <c r="BV677" s="320">
        <f t="shared" si="54"/>
        <v>1.2117779322537183E-2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05" customHeight="1">
      <c r="A678" s="22"/>
      <c r="B678" t="s">
        <v>17</v>
      </c>
      <c r="G678" s="1416"/>
      <c r="H678" s="1416"/>
      <c r="I678" s="1416"/>
      <c r="J678" s="1416"/>
      <c r="K678" s="1416"/>
      <c r="L678" s="1416"/>
      <c r="M678" s="1416"/>
      <c r="N678" s="1416"/>
      <c r="O678" s="1416"/>
      <c r="P678" s="1416"/>
      <c r="Q678" s="1416"/>
      <c r="R678" s="1416"/>
      <c r="T678" s="22"/>
      <c r="U678" t="s">
        <v>17</v>
      </c>
      <c r="Z678" s="1411"/>
      <c r="AA678" s="1411"/>
      <c r="AB678" s="1411"/>
      <c r="AC678" s="1411"/>
      <c r="AD678" s="1411"/>
      <c r="AE678" s="1411"/>
      <c r="AF678" s="1411"/>
      <c r="AG678" s="1411"/>
      <c r="AH678" s="1411"/>
      <c r="AI678" s="1411"/>
      <c r="AJ678" s="1411"/>
      <c r="AK678" s="1411"/>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05" customHeight="1">
      <c r="A679" s="22"/>
      <c r="B679" t="s">
        <v>317</v>
      </c>
      <c r="G679" s="1477"/>
      <c r="H679" s="1477"/>
      <c r="I679" s="1477"/>
      <c r="J679" s="1477"/>
      <c r="K679" s="1477"/>
      <c r="L679" s="1477"/>
      <c r="O679" s="33" t="s">
        <v>207</v>
      </c>
      <c r="P679" s="1441"/>
      <c r="Q679" s="1441"/>
      <c r="R679" s="1441"/>
      <c r="T679" s="22"/>
      <c r="U679" t="s">
        <v>317</v>
      </c>
      <c r="Z679" s="1477"/>
      <c r="AA679" s="1477"/>
      <c r="AB679" s="1477"/>
      <c r="AC679" s="1477"/>
      <c r="AD679" s="1477"/>
      <c r="AE679" s="1477"/>
      <c r="AH679" s="33" t="s">
        <v>207</v>
      </c>
      <c r="AI679" s="1441"/>
      <c r="AJ679" s="1441"/>
      <c r="AK679" s="1441"/>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05" customHeight="1">
      <c r="A680" s="22"/>
      <c r="B680" t="s">
        <v>18</v>
      </c>
      <c r="H680" s="1416"/>
      <c r="I680" s="1416"/>
      <c r="J680" s="1416"/>
      <c r="K680" s="1416"/>
      <c r="L680" s="1416"/>
      <c r="M680" s="1416"/>
      <c r="N680" s="1416"/>
      <c r="O680" s="1416"/>
      <c r="P680" s="1416"/>
      <c r="Q680" s="1416"/>
      <c r="R680" s="1416"/>
      <c r="T680" s="22"/>
      <c r="U680" t="s">
        <v>18</v>
      </c>
      <c r="AA680" s="1416"/>
      <c r="AB680" s="1416"/>
      <c r="AC680" s="1416"/>
      <c r="AD680" s="1416"/>
      <c r="AE680" s="1416"/>
      <c r="AF680" s="1416"/>
      <c r="AG680" s="1416"/>
      <c r="AH680" s="1416"/>
      <c r="AI680" s="1416"/>
      <c r="AJ680" s="1416"/>
      <c r="AK680" s="1416"/>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05" customHeight="1">
      <c r="A681" s="22"/>
      <c r="B681" t="s">
        <v>20</v>
      </c>
      <c r="N681" s="1415" t="s">
        <v>676</v>
      </c>
      <c r="O681" s="1415"/>
      <c r="T681" s="22"/>
      <c r="U681" t="s">
        <v>20</v>
      </c>
      <c r="AG681" s="1415" t="s">
        <v>676</v>
      </c>
      <c r="AH681" s="141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0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05" customHeight="1">
      <c r="A683" s="55" t="s">
        <v>363</v>
      </c>
      <c r="B683" t="s">
        <v>471</v>
      </c>
      <c r="G683" s="1417">
        <f>C637</f>
        <v>0</v>
      </c>
      <c r="H683" s="1417"/>
      <c r="I683" s="1417"/>
      <c r="J683" s="1417"/>
      <c r="K683" s="1417"/>
      <c r="L683" s="1417"/>
      <c r="M683" s="1417"/>
      <c r="N683" s="1417"/>
      <c r="O683" s="1417"/>
      <c r="P683" s="1417"/>
      <c r="Q683" s="1417"/>
      <c r="R683" s="1417"/>
      <c r="T683" s="55" t="s">
        <v>364</v>
      </c>
      <c r="U683" t="s">
        <v>471</v>
      </c>
      <c r="Z683" s="1417">
        <f>C638</f>
        <v>0</v>
      </c>
      <c r="AA683" s="1417"/>
      <c r="AB683" s="1417"/>
      <c r="AC683" s="1417"/>
      <c r="AD683" s="1417"/>
      <c r="AE683" s="1417"/>
      <c r="AF683" s="1417"/>
      <c r="AG683" s="1417"/>
      <c r="AH683" s="1417"/>
      <c r="AI683" s="1417"/>
      <c r="AJ683" s="1417"/>
      <c r="AK683" s="1417"/>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05" customHeight="1">
      <c r="B684" t="s">
        <v>85</v>
      </c>
      <c r="G684" s="1416"/>
      <c r="H684" s="1416"/>
      <c r="I684" s="1416"/>
      <c r="J684" s="1416"/>
      <c r="K684" s="1416"/>
      <c r="L684" s="1416"/>
      <c r="M684" s="1416"/>
      <c r="N684" s="1416"/>
      <c r="O684" s="1416"/>
      <c r="P684" s="1416"/>
      <c r="Q684" s="1416"/>
      <c r="R684" s="1416"/>
      <c r="T684" s="22"/>
      <c r="U684" t="s">
        <v>85</v>
      </c>
      <c r="Z684" s="1416"/>
      <c r="AA684" s="1416"/>
      <c r="AB684" s="1416"/>
      <c r="AC684" s="1416"/>
      <c r="AD684" s="1416"/>
      <c r="AE684" s="1416"/>
      <c r="AF684" s="1416"/>
      <c r="AG684" s="1416"/>
      <c r="AH684" s="1416"/>
      <c r="AI684" s="1416"/>
      <c r="AJ684" s="1416"/>
      <c r="AK684" s="141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05" customHeight="1">
      <c r="B685" t="s">
        <v>588</v>
      </c>
      <c r="G685" s="1416"/>
      <c r="H685" s="1416"/>
      <c r="I685" s="1416"/>
      <c r="J685" s="1416"/>
      <c r="K685" s="1416"/>
      <c r="L685" s="1416"/>
      <c r="M685" s="1416"/>
      <c r="N685" s="1416"/>
      <c r="O685" s="1416"/>
      <c r="P685" s="1416"/>
      <c r="Q685" s="1416"/>
      <c r="R685" s="1416"/>
      <c r="U685" t="s">
        <v>588</v>
      </c>
      <c r="Z685" s="1411"/>
      <c r="AA685" s="1411"/>
      <c r="AB685" s="1411"/>
      <c r="AC685" s="1411"/>
      <c r="AD685" s="1411"/>
      <c r="AE685" s="1411"/>
      <c r="AF685" s="1411"/>
      <c r="AG685" s="1411"/>
      <c r="AH685" s="1411"/>
      <c r="AI685" s="1411"/>
      <c r="AJ685" s="1411"/>
      <c r="AK685" s="141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05" customHeight="1">
      <c r="B686" t="s">
        <v>17</v>
      </c>
      <c r="G686" s="1416"/>
      <c r="H686" s="1416"/>
      <c r="I686" s="1416"/>
      <c r="J686" s="1416"/>
      <c r="K686" s="1416"/>
      <c r="L686" s="1416"/>
      <c r="M686" s="1416"/>
      <c r="N686" s="1416"/>
      <c r="O686" s="1416"/>
      <c r="P686" s="1416"/>
      <c r="Q686" s="1416"/>
      <c r="R686" s="1416"/>
      <c r="U686" t="s">
        <v>17</v>
      </c>
      <c r="Z686" s="1411"/>
      <c r="AA686" s="1411"/>
      <c r="AB686" s="1411"/>
      <c r="AC686" s="1411"/>
      <c r="AD686" s="1411"/>
      <c r="AE686" s="1411"/>
      <c r="AF686" s="1411"/>
      <c r="AG686" s="1411"/>
      <c r="AH686" s="1411"/>
      <c r="AI686" s="1411"/>
      <c r="AJ686" s="1411"/>
      <c r="AK686" s="141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05" customHeight="1">
      <c r="B687" t="s">
        <v>317</v>
      </c>
      <c r="G687" s="1477"/>
      <c r="H687" s="1477"/>
      <c r="I687" s="1477"/>
      <c r="J687" s="1477"/>
      <c r="K687" s="1477"/>
      <c r="L687" s="1477"/>
      <c r="O687" s="33" t="s">
        <v>207</v>
      </c>
      <c r="P687" s="1441"/>
      <c r="Q687" s="1441"/>
      <c r="R687" s="1441"/>
      <c r="U687" t="s">
        <v>317</v>
      </c>
      <c r="Z687" s="1477"/>
      <c r="AA687" s="1477"/>
      <c r="AB687" s="1477"/>
      <c r="AC687" s="1477"/>
      <c r="AD687" s="1477"/>
      <c r="AE687" s="1477"/>
      <c r="AH687" s="33" t="s">
        <v>207</v>
      </c>
      <c r="AI687" s="1441"/>
      <c r="AJ687" s="1441"/>
      <c r="AK687" s="1441"/>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05" customHeight="1">
      <c r="B688" t="s">
        <v>18</v>
      </c>
      <c r="H688" s="1416"/>
      <c r="I688" s="1416"/>
      <c r="J688" s="1416"/>
      <c r="K688" s="1416"/>
      <c r="L688" s="1416"/>
      <c r="M688" s="1416"/>
      <c r="N688" s="1416"/>
      <c r="O688" s="1416"/>
      <c r="P688" s="1416"/>
      <c r="Q688" s="1416"/>
      <c r="R688" s="1416"/>
      <c r="U688" t="s">
        <v>18</v>
      </c>
      <c r="AA688" s="1416"/>
      <c r="AB688" s="1416"/>
      <c r="AC688" s="1416"/>
      <c r="AD688" s="1416"/>
      <c r="AE688" s="1416"/>
      <c r="AF688" s="1416"/>
      <c r="AG688" s="1416"/>
      <c r="AH688" s="1416"/>
      <c r="AI688" s="1416"/>
      <c r="AJ688" s="1416"/>
      <c r="AK688" s="141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05" customHeight="1">
      <c r="B689" t="s">
        <v>20</v>
      </c>
      <c r="N689" s="1415" t="s">
        <v>676</v>
      </c>
      <c r="O689" s="1415"/>
      <c r="U689" t="s">
        <v>20</v>
      </c>
      <c r="AG689" s="1415" t="s">
        <v>676</v>
      </c>
      <c r="AH689" s="141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0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0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0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05" customHeight="1">
      <c r="B693" s="135"/>
      <c r="C693" s="135"/>
      <c r="E693" s="136" t="s">
        <v>437</v>
      </c>
      <c r="F693" s="135"/>
      <c r="G693" s="135"/>
      <c r="H693" s="135"/>
      <c r="AE693" s="1415" t="s">
        <v>553</v>
      </c>
      <c r="AF693" s="141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05" customHeight="1">
      <c r="B694" s="135"/>
      <c r="C694" s="135"/>
      <c r="D694" s="136" t="s">
        <v>440</v>
      </c>
      <c r="E694" s="135"/>
      <c r="F694" s="135"/>
      <c r="G694" s="135"/>
      <c r="H694" s="135"/>
      <c r="AE694" s="1415" t="s">
        <v>553</v>
      </c>
      <c r="AF694" s="141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05" customHeight="1">
      <c r="B695" s="135"/>
      <c r="C695" s="135"/>
      <c r="D695" s="136" t="s">
        <v>938</v>
      </c>
      <c r="E695" s="135"/>
      <c r="F695" s="135"/>
      <c r="G695" s="135"/>
      <c r="H695" s="135"/>
      <c r="AE695" s="1482">
        <v>45531</v>
      </c>
      <c r="AF695" s="1482"/>
      <c r="AG695" s="1482"/>
      <c r="AH695" s="1482"/>
      <c r="AI695" s="1482"/>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05" customHeight="1">
      <c r="B696" s="135"/>
      <c r="C696" s="135"/>
      <c r="D696" s="343" t="s">
        <v>1001</v>
      </c>
      <c r="E696" s="135"/>
      <c r="F696" s="135"/>
      <c r="G696" s="135"/>
      <c r="H696" s="135"/>
      <c r="AE696" s="1425">
        <v>45637</v>
      </c>
      <c r="AF696" s="1425"/>
      <c r="AG696" s="1425"/>
      <c r="AH696" s="1425"/>
      <c r="AI696" s="142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0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05" customHeight="1">
      <c r="B698" s="135"/>
      <c r="C698" s="135"/>
      <c r="D698" s="136" t="s">
        <v>824</v>
      </c>
      <c r="E698" s="135"/>
      <c r="F698" s="135"/>
      <c r="G698" s="135"/>
      <c r="H698" s="135"/>
      <c r="AE698" s="1482">
        <v>45778</v>
      </c>
      <c r="AF698" s="1482"/>
      <c r="AG698" s="1482"/>
      <c r="AH698" s="1482"/>
      <c r="AI698" s="1482"/>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05" customHeight="1">
      <c r="B699" s="135"/>
      <c r="C699" s="135"/>
      <c r="D699" s="136" t="s">
        <v>438</v>
      </c>
      <c r="E699" s="135"/>
      <c r="F699" s="135"/>
      <c r="G699" s="135"/>
      <c r="H699" s="135"/>
      <c r="AE699" s="1808">
        <v>0.50249999999999995</v>
      </c>
      <c r="AF699" s="1808"/>
      <c r="AG699" s="1808"/>
      <c r="AH699" s="1808"/>
      <c r="AI699" s="1808"/>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05" customHeight="1">
      <c r="B700" s="135"/>
      <c r="C700" s="135"/>
      <c r="D700" s="136" t="s">
        <v>439</v>
      </c>
      <c r="E700" s="135"/>
      <c r="F700" s="135"/>
      <c r="G700" s="135"/>
      <c r="H700" s="135"/>
      <c r="W700" s="1417" t="str">
        <f>H335</f>
        <v>California Housing Finance Agency</v>
      </c>
      <c r="X700" s="1417"/>
      <c r="Y700" s="1417"/>
      <c r="Z700" s="1417"/>
      <c r="AA700" s="1417"/>
      <c r="AB700" s="1417"/>
      <c r="AC700" s="1417"/>
      <c r="AD700" s="1417"/>
      <c r="AE700" s="1417"/>
      <c r="AF700" s="1417"/>
      <c r="AG700" s="1417"/>
      <c r="AH700" s="1417"/>
      <c r="AI700" s="1417"/>
      <c r="AJ700" s="1417"/>
      <c r="AK700" s="1417"/>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0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05" customHeight="1">
      <c r="B702" s="135"/>
      <c r="C702" s="135"/>
      <c r="D702" s="136" t="s">
        <v>441</v>
      </c>
      <c r="E702" s="135"/>
      <c r="F702" s="135"/>
      <c r="G702" s="135"/>
      <c r="H702" s="135"/>
      <c r="AE702" s="1415" t="s">
        <v>676</v>
      </c>
      <c r="AF702" s="141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05" customHeight="1">
      <c r="B703" s="135"/>
      <c r="C703" s="135"/>
      <c r="D703" s="136" t="s">
        <v>444</v>
      </c>
      <c r="E703" s="135"/>
      <c r="F703" s="135"/>
      <c r="G703" s="135"/>
      <c r="H703" s="135"/>
      <c r="W703" s="1416"/>
      <c r="X703" s="1416"/>
      <c r="Y703" s="1416"/>
      <c r="Z703" s="1416"/>
      <c r="AA703" s="1416"/>
      <c r="AB703" s="1416"/>
      <c r="AC703" s="1416"/>
      <c r="AD703" s="1416"/>
      <c r="AE703" s="1416"/>
      <c r="AF703" s="1416"/>
      <c r="AG703" s="1416"/>
      <c r="AH703" s="1416"/>
      <c r="AI703" s="1416"/>
      <c r="AJ703" s="1416"/>
      <c r="AK703" s="1416"/>
      <c r="AZ703" s="34"/>
      <c r="BA703" s="34"/>
      <c r="BB703" s="34"/>
      <c r="BC703" s="34"/>
      <c r="BD703" s="34"/>
      <c r="BE703" s="3"/>
      <c r="BF703" s="312" t="s">
        <v>913</v>
      </c>
      <c r="BG703" s="321">
        <f>SUM(BG668:BG702)</f>
        <v>99</v>
      </c>
      <c r="BH703" s="322">
        <f>SUM(BH668:BH702)</f>
        <v>0.99999999999999989</v>
      </c>
      <c r="BI703" s="322">
        <f>SUM(BI668:BI702)</f>
        <v>0.56767676767676767</v>
      </c>
      <c r="BN703" s="3"/>
      <c r="BO703" s="3"/>
      <c r="BT703" s="893">
        <f>SUM(BT668:BT702)</f>
        <v>99</v>
      </c>
      <c r="BU703" s="322">
        <f>SUM(BU668:BU702)</f>
        <v>0.99999999999999989</v>
      </c>
      <c r="BV703" s="322">
        <f>SUM(BV668:BV702)</f>
        <v>0.53422526989025043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05" customHeight="1">
      <c r="B704" s="135"/>
      <c r="C704" s="135"/>
      <c r="D704" s="136" t="s">
        <v>87</v>
      </c>
      <c r="E704" s="135"/>
      <c r="F704" s="135"/>
      <c r="G704" s="135"/>
      <c r="H704" s="135"/>
      <c r="J704" s="1416"/>
      <c r="K704" s="1416"/>
      <c r="L704" s="1416"/>
      <c r="M704" s="1416"/>
      <c r="N704" s="1416"/>
      <c r="O704" s="1416"/>
      <c r="P704" s="1416"/>
      <c r="Q704" s="1416"/>
      <c r="R704" s="1416"/>
      <c r="S704" s="1416"/>
      <c r="T704" s="1416"/>
      <c r="U704" s="1416"/>
      <c r="V704" s="1416"/>
      <c r="W704" s="1416"/>
      <c r="X704" s="141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05" customHeight="1">
      <c r="B705" s="135"/>
      <c r="C705" s="135"/>
      <c r="D705" s="136" t="s">
        <v>88</v>
      </c>
      <c r="J705" s="1477"/>
      <c r="K705" s="1477"/>
      <c r="L705" s="1477"/>
      <c r="M705" s="1477"/>
      <c r="N705" s="1477"/>
      <c r="O705" s="1477"/>
      <c r="P705" s="4" t="s">
        <v>207</v>
      </c>
      <c r="Q705" s="4"/>
      <c r="R705" s="1441"/>
      <c r="S705" s="1441"/>
      <c r="T705" s="1441"/>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05" customHeight="1">
      <c r="B706" s="135"/>
      <c r="C706" s="135"/>
      <c r="D706" s="136" t="s">
        <v>445</v>
      </c>
      <c r="W706" s="1416" t="s">
        <v>308</v>
      </c>
      <c r="X706" s="1416"/>
      <c r="Y706" s="1416"/>
      <c r="Z706" s="1416"/>
      <c r="AA706" s="1416"/>
      <c r="AB706" s="1416"/>
      <c r="AC706" s="1416"/>
      <c r="AD706" s="1416"/>
      <c r="AE706" s="1416"/>
      <c r="AF706" s="1416"/>
      <c r="AG706" s="1416"/>
      <c r="AH706" s="1416"/>
      <c r="AI706" s="1416"/>
      <c r="AJ706" s="1416"/>
      <c r="AK706" s="141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05" customHeight="1">
      <c r="B707" s="135"/>
      <c r="C707" s="135"/>
      <c r="D707" s="136"/>
      <c r="E707" s="1416" t="s">
        <v>335</v>
      </c>
      <c r="F707" s="1416"/>
      <c r="G707" s="1416"/>
      <c r="H707" s="1416"/>
      <c r="I707" s="1416"/>
      <c r="J707" s="1416"/>
      <c r="K707" s="1416"/>
      <c r="L707" s="1416"/>
      <c r="M707" s="1416"/>
      <c r="N707" s="1416"/>
      <c r="O707" s="1416"/>
      <c r="P707" s="1416"/>
      <c r="Q707" s="1416"/>
      <c r="R707" s="1416"/>
      <c r="S707" s="1416"/>
      <c r="T707" s="1416"/>
      <c r="U707" s="1416"/>
      <c r="V707" s="1416"/>
      <c r="W707" s="1416"/>
      <c r="X707" s="1416"/>
      <c r="Y707" s="1416"/>
      <c r="Z707" s="1416"/>
      <c r="AA707" s="1416"/>
      <c r="AB707" s="1416"/>
      <c r="AC707" s="1416"/>
      <c r="AD707" s="1416"/>
      <c r="AE707" s="1416"/>
      <c r="AF707" s="1416"/>
      <c r="AG707" s="1416"/>
      <c r="AH707" s="1416"/>
      <c r="AI707" s="1416"/>
      <c r="AJ707" s="1416"/>
      <c r="AK707" s="141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0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05" customHeight="1">
      <c r="A709" s="1266" t="s">
        <v>95</v>
      </c>
      <c r="B709" s="1266"/>
      <c r="C709" s="1266"/>
      <c r="D709" s="1266"/>
      <c r="E709" s="1266"/>
      <c r="F709" s="1266"/>
      <c r="G709" s="1266"/>
      <c r="H709" s="1266"/>
      <c r="I709" s="1266"/>
      <c r="J709" s="1266"/>
      <c r="K709" s="1266"/>
      <c r="L709" s="1266"/>
      <c r="M709" s="1266"/>
      <c r="N709" s="1266"/>
      <c r="O709" s="1266"/>
      <c r="P709" s="1266"/>
      <c r="Q709" s="1266"/>
      <c r="R709" s="1266"/>
      <c r="S709" s="1266"/>
      <c r="T709" s="1266"/>
      <c r="U709" s="1266"/>
      <c r="V709" s="1266"/>
      <c r="W709" s="1266"/>
      <c r="X709" s="1266"/>
      <c r="Y709" s="1266"/>
      <c r="Z709" s="1266"/>
      <c r="AA709" s="1266"/>
      <c r="AB709" s="1266"/>
      <c r="AC709" s="1266"/>
      <c r="AD709" s="1266"/>
      <c r="AE709" s="1266"/>
      <c r="AF709" s="1266"/>
      <c r="AG709" s="1266"/>
      <c r="AH709" s="1266"/>
      <c r="AI709" s="1266"/>
      <c r="AJ709" s="1266"/>
      <c r="AK709" s="1266"/>
      <c r="AL709" s="1266"/>
      <c r="AM709" s="1266"/>
      <c r="AN709" s="1266"/>
      <c r="AO709" s="1266"/>
      <c r="AP709" s="1266"/>
      <c r="AQ709" s="1266"/>
      <c r="AR709" s="1266"/>
      <c r="AS709" s="1266"/>
      <c r="AT709" s="126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05" customHeight="1">
      <c r="A710" s="1266"/>
      <c r="B710" s="1266"/>
      <c r="C710" s="1266"/>
      <c r="D710" s="1266"/>
      <c r="E710" s="1266"/>
      <c r="F710" s="1266"/>
      <c r="G710" s="1266"/>
      <c r="H710" s="1266"/>
      <c r="I710" s="1266"/>
      <c r="J710" s="1266"/>
      <c r="K710" s="1266"/>
      <c r="L710" s="1266"/>
      <c r="M710" s="1266"/>
      <c r="N710" s="1266"/>
      <c r="O710" s="1266"/>
      <c r="P710" s="1266"/>
      <c r="Q710" s="1266"/>
      <c r="R710" s="1266"/>
      <c r="S710" s="1266"/>
      <c r="T710" s="1266"/>
      <c r="U710" s="1266"/>
      <c r="V710" s="1266"/>
      <c r="W710" s="1266"/>
      <c r="X710" s="1266"/>
      <c r="Y710" s="1266"/>
      <c r="Z710" s="1266"/>
      <c r="AA710" s="1266"/>
      <c r="AB710" s="1266"/>
      <c r="AC710" s="1266"/>
      <c r="AD710" s="1266"/>
      <c r="AE710" s="1266"/>
      <c r="AF710" s="1266"/>
      <c r="AG710" s="1266"/>
      <c r="AH710" s="1266"/>
      <c r="AI710" s="1266"/>
      <c r="AJ710" s="1266"/>
      <c r="AK710" s="1266"/>
      <c r="AL710" s="1266"/>
      <c r="AM710" s="1266"/>
      <c r="AN710" s="1266"/>
      <c r="AO710" s="1266"/>
      <c r="AP710" s="1266"/>
      <c r="AQ710" s="1266"/>
      <c r="AR710" s="1266"/>
      <c r="AS710" s="1266"/>
      <c r="AT710" s="126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05" customHeight="1">
      <c r="A711" s="1266"/>
      <c r="B711" s="1266"/>
      <c r="C711" s="1266"/>
      <c r="D711" s="1266"/>
      <c r="E711" s="1266"/>
      <c r="F711" s="1266"/>
      <c r="G711" s="1266"/>
      <c r="H711" s="1266"/>
      <c r="I711" s="1266"/>
      <c r="J711" s="1266"/>
      <c r="K711" s="1266"/>
      <c r="L711" s="1266"/>
      <c r="M711" s="1266"/>
      <c r="N711" s="1266"/>
      <c r="O711" s="1266"/>
      <c r="P711" s="1266"/>
      <c r="Q711" s="1266"/>
      <c r="R711" s="1266"/>
      <c r="S711" s="1266"/>
      <c r="T711" s="1266"/>
      <c r="U711" s="1266"/>
      <c r="V711" s="1266"/>
      <c r="W711" s="1266"/>
      <c r="X711" s="1266"/>
      <c r="Y711" s="1266"/>
      <c r="Z711" s="1266"/>
      <c r="AA711" s="1266"/>
      <c r="AB711" s="1266"/>
      <c r="AC711" s="1266"/>
      <c r="AD711" s="1266"/>
      <c r="AE711" s="1266"/>
      <c r="AF711" s="1266"/>
      <c r="AG711" s="1266"/>
      <c r="AH711" s="1266"/>
      <c r="AI711" s="1266"/>
      <c r="AJ711" s="1266"/>
      <c r="AK711" s="1266"/>
      <c r="AL711" s="1266"/>
      <c r="AM711" s="1266"/>
      <c r="AN711" s="1266"/>
      <c r="AO711" s="1266"/>
      <c r="AP711" s="1266"/>
      <c r="AQ711" s="1266"/>
      <c r="AR711" s="1266"/>
      <c r="AS711" s="1266"/>
      <c r="AT711" s="126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0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0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05" customHeight="1">
      <c r="B714" s="1682" t="s">
        <v>390</v>
      </c>
      <c r="C714" s="1484"/>
      <c r="D714" s="1484"/>
      <c r="E714" s="1484"/>
      <c r="F714" s="1485"/>
      <c r="G714" s="1682" t="s">
        <v>286</v>
      </c>
      <c r="H714" s="1484"/>
      <c r="I714" s="1484"/>
      <c r="J714" s="1485"/>
      <c r="K714" s="1790" t="s">
        <v>1865</v>
      </c>
      <c r="L714" s="1791"/>
      <c r="M714" s="1791"/>
      <c r="N714" s="1792"/>
      <c r="O714" s="1682" t="s">
        <v>455</v>
      </c>
      <c r="P714" s="1484"/>
      <c r="Q714" s="1484"/>
      <c r="R714" s="1484"/>
      <c r="S714" s="1485"/>
      <c r="T714" s="1483" t="s">
        <v>2246</v>
      </c>
      <c r="U714" s="1484"/>
      <c r="V714" s="1484"/>
      <c r="W714" s="1485"/>
      <c r="X714" s="1483" t="s">
        <v>2248</v>
      </c>
      <c r="Y714" s="1484"/>
      <c r="Z714" s="1484"/>
      <c r="AA714" s="1484"/>
      <c r="AB714" s="1485"/>
      <c r="AC714" s="1483" t="s">
        <v>2247</v>
      </c>
      <c r="AD714" s="1484"/>
      <c r="AE714" s="1484"/>
      <c r="AF714" s="1484"/>
      <c r="AG714" s="1485"/>
      <c r="AH714" s="1483" t="s">
        <v>2249</v>
      </c>
      <c r="AI714" s="1484"/>
      <c r="AJ714" s="1485"/>
      <c r="AK714" s="1483" t="s">
        <v>2283</v>
      </c>
      <c r="AL714" s="1484"/>
      <c r="AM714" s="1484"/>
      <c r="AN714" s="1484"/>
      <c r="AO714" s="148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05" customHeight="1">
      <c r="B715" s="1486"/>
      <c r="C715" s="1487"/>
      <c r="D715" s="1487"/>
      <c r="E715" s="1487"/>
      <c r="F715" s="1488"/>
      <c r="G715" s="1486"/>
      <c r="H715" s="1487"/>
      <c r="I715" s="1487"/>
      <c r="J715" s="1488"/>
      <c r="K715" s="1793"/>
      <c r="L715" s="1794"/>
      <c r="M715" s="1794"/>
      <c r="N715" s="1795"/>
      <c r="O715" s="1486"/>
      <c r="P715" s="1487"/>
      <c r="Q715" s="1487"/>
      <c r="R715" s="1487"/>
      <c r="S715" s="1488"/>
      <c r="T715" s="1486"/>
      <c r="U715" s="1487"/>
      <c r="V715" s="1487"/>
      <c r="W715" s="1488"/>
      <c r="X715" s="1486"/>
      <c r="Y715" s="1487"/>
      <c r="Z715" s="1487"/>
      <c r="AA715" s="1487"/>
      <c r="AB715" s="1488"/>
      <c r="AC715" s="1486"/>
      <c r="AD715" s="1487"/>
      <c r="AE715" s="1487"/>
      <c r="AF715" s="1487"/>
      <c r="AG715" s="1488"/>
      <c r="AH715" s="1486"/>
      <c r="AI715" s="1487"/>
      <c r="AJ715" s="1488"/>
      <c r="AK715" s="1486"/>
      <c r="AL715" s="1487"/>
      <c r="AM715" s="1487"/>
      <c r="AN715" s="1487"/>
      <c r="AO715" s="148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05" customHeight="1">
      <c r="A716" s="4"/>
      <c r="B716" s="1486"/>
      <c r="C716" s="1487"/>
      <c r="D716" s="1487"/>
      <c r="E716" s="1487"/>
      <c r="F716" s="1488"/>
      <c r="G716" s="1486"/>
      <c r="H716" s="1487"/>
      <c r="I716" s="1487"/>
      <c r="J716" s="1488"/>
      <c r="K716" s="1793"/>
      <c r="L716" s="1794"/>
      <c r="M716" s="1794"/>
      <c r="N716" s="1795"/>
      <c r="O716" s="1486"/>
      <c r="P716" s="1487"/>
      <c r="Q716" s="1487"/>
      <c r="R716" s="1487"/>
      <c r="S716" s="1488"/>
      <c r="T716" s="1486"/>
      <c r="U716" s="1487"/>
      <c r="V716" s="1487"/>
      <c r="W716" s="1488"/>
      <c r="X716" s="1486"/>
      <c r="Y716" s="1487"/>
      <c r="Z716" s="1487"/>
      <c r="AA716" s="1487"/>
      <c r="AB716" s="1488"/>
      <c r="AC716" s="1486"/>
      <c r="AD716" s="1487"/>
      <c r="AE716" s="1487"/>
      <c r="AF716" s="1487"/>
      <c r="AG716" s="1488"/>
      <c r="AH716" s="1486"/>
      <c r="AI716" s="1487"/>
      <c r="AJ716" s="1488"/>
      <c r="AK716" s="1486"/>
      <c r="AL716" s="1487"/>
      <c r="AM716" s="1487"/>
      <c r="AN716" s="1487"/>
      <c r="AO716" s="148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05" customHeight="1">
      <c r="A717" s="4"/>
      <c r="B717" s="1489"/>
      <c r="C717" s="1490"/>
      <c r="D717" s="1490"/>
      <c r="E717" s="1490"/>
      <c r="F717" s="1491"/>
      <c r="G717" s="1489"/>
      <c r="H717" s="1490"/>
      <c r="I717" s="1490"/>
      <c r="J717" s="1491"/>
      <c r="K717" s="1793"/>
      <c r="L717" s="1794"/>
      <c r="M717" s="1794"/>
      <c r="N717" s="1795"/>
      <c r="O717" s="1489"/>
      <c r="P717" s="1490"/>
      <c r="Q717" s="1490"/>
      <c r="R717" s="1490"/>
      <c r="S717" s="1491"/>
      <c r="T717" s="1489"/>
      <c r="U717" s="1490"/>
      <c r="V717" s="1490"/>
      <c r="W717" s="1491"/>
      <c r="X717" s="1489"/>
      <c r="Y717" s="1490"/>
      <c r="Z717" s="1490"/>
      <c r="AA717" s="1490"/>
      <c r="AB717" s="1491"/>
      <c r="AC717" s="1489"/>
      <c r="AD717" s="1490"/>
      <c r="AE717" s="1490"/>
      <c r="AF717" s="1490"/>
      <c r="AG717" s="1491"/>
      <c r="AH717" s="1489"/>
      <c r="AI717" s="1490"/>
      <c r="AJ717" s="1491"/>
      <c r="AK717" s="1489"/>
      <c r="AL717" s="1490"/>
      <c r="AM717" s="1490"/>
      <c r="AN717" s="1490"/>
      <c r="AO717" s="149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05" customHeight="1">
      <c r="A718" s="4"/>
      <c r="B718" s="1355" t="s">
        <v>326</v>
      </c>
      <c r="C718" s="1356"/>
      <c r="D718" s="1356"/>
      <c r="E718" s="1356"/>
      <c r="F718" s="1357"/>
      <c r="G718" s="1373">
        <v>1</v>
      </c>
      <c r="H718" s="1374"/>
      <c r="I718" s="1374"/>
      <c r="J718" s="1375"/>
      <c r="K718" s="1367">
        <v>462</v>
      </c>
      <c r="L718" s="1368"/>
      <c r="M718" s="1368"/>
      <c r="N718" s="1369"/>
      <c r="O718" s="1361">
        <v>1537</v>
      </c>
      <c r="P718" s="1362"/>
      <c r="Q718" s="1362"/>
      <c r="R718" s="1362"/>
      <c r="S718" s="1363"/>
      <c r="T718" s="1361">
        <v>100</v>
      </c>
      <c r="U718" s="1362"/>
      <c r="V718" s="1362"/>
      <c r="W718" s="1363"/>
      <c r="X718" s="1358">
        <f t="shared" ref="X718:X741" si="59">O718+T718</f>
        <v>1637</v>
      </c>
      <c r="Y718" s="1359"/>
      <c r="Z718" s="1359"/>
      <c r="AA718" s="1359"/>
      <c r="AB718" s="1360"/>
      <c r="AC718" s="1364">
        <v>0.6</v>
      </c>
      <c r="AD718" s="1365"/>
      <c r="AE718" s="1365"/>
      <c r="AF718" s="1365"/>
      <c r="AG718" s="1366"/>
      <c r="AH718" s="1370">
        <f t="shared" ref="AH718:AH751" si="60">IF($AC718&gt;0,($X718/$BA667), "")</f>
        <v>0.48203769140164898</v>
      </c>
      <c r="AI718" s="1371"/>
      <c r="AJ718" s="1372"/>
      <c r="AK718" s="1355" t="s">
        <v>599</v>
      </c>
      <c r="AL718" s="1356"/>
      <c r="AM718" s="1356"/>
      <c r="AN718" s="1356"/>
      <c r="AO718" s="135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05" customHeight="1">
      <c r="A719" s="4"/>
      <c r="B719" s="1355" t="s">
        <v>326</v>
      </c>
      <c r="C719" s="1356"/>
      <c r="D719" s="1356"/>
      <c r="E719" s="1356"/>
      <c r="F719" s="1357"/>
      <c r="G719" s="1373">
        <v>10</v>
      </c>
      <c r="H719" s="1374"/>
      <c r="I719" s="1374"/>
      <c r="J719" s="1375"/>
      <c r="K719" s="1367">
        <v>462</v>
      </c>
      <c r="L719" s="1368"/>
      <c r="M719" s="1368"/>
      <c r="N719" s="1369"/>
      <c r="O719" s="1361">
        <v>1537</v>
      </c>
      <c r="P719" s="1362"/>
      <c r="Q719" s="1362"/>
      <c r="R719" s="1362"/>
      <c r="S719" s="1363"/>
      <c r="T719" s="1361">
        <v>100</v>
      </c>
      <c r="U719" s="1362"/>
      <c r="V719" s="1362"/>
      <c r="W719" s="1363"/>
      <c r="X719" s="1358">
        <f t="shared" si="59"/>
        <v>1637</v>
      </c>
      <c r="Y719" s="1359"/>
      <c r="Z719" s="1359"/>
      <c r="AA719" s="1359"/>
      <c r="AB719" s="1360"/>
      <c r="AC719" s="1364">
        <v>0.5</v>
      </c>
      <c r="AD719" s="1365"/>
      <c r="AE719" s="1365"/>
      <c r="AF719" s="1365"/>
      <c r="AG719" s="1366"/>
      <c r="AH719" s="1370">
        <f t="shared" si="60"/>
        <v>0.48203769140164898</v>
      </c>
      <c r="AI719" s="1371"/>
      <c r="AJ719" s="1372"/>
      <c r="AK719" s="1355" t="s">
        <v>599</v>
      </c>
      <c r="AL719" s="1356"/>
      <c r="AM719" s="1356"/>
      <c r="AN719" s="1356"/>
      <c r="AO719" s="1357"/>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05" customHeight="1">
      <c r="A720" s="4"/>
      <c r="B720" s="1355" t="s">
        <v>326</v>
      </c>
      <c r="C720" s="1356"/>
      <c r="D720" s="1356"/>
      <c r="E720" s="1356"/>
      <c r="F720" s="1357"/>
      <c r="G720" s="1373">
        <v>10</v>
      </c>
      <c r="H720" s="1374"/>
      <c r="I720" s="1374"/>
      <c r="J720" s="1375"/>
      <c r="K720" s="1367">
        <v>462</v>
      </c>
      <c r="L720" s="1368"/>
      <c r="M720" s="1368"/>
      <c r="N720" s="1369"/>
      <c r="O720" s="1361">
        <v>918</v>
      </c>
      <c r="P720" s="1362"/>
      <c r="Q720" s="1362"/>
      <c r="R720" s="1362"/>
      <c r="S720" s="1363"/>
      <c r="T720" s="1361">
        <v>100</v>
      </c>
      <c r="U720" s="1362"/>
      <c r="V720" s="1362"/>
      <c r="W720" s="1363"/>
      <c r="X720" s="1358">
        <f t="shared" si="59"/>
        <v>1018</v>
      </c>
      <c r="Y720" s="1359"/>
      <c r="Z720" s="1359"/>
      <c r="AA720" s="1359"/>
      <c r="AB720" s="1360"/>
      <c r="AC720" s="1364">
        <v>0.3</v>
      </c>
      <c r="AD720" s="1365"/>
      <c r="AE720" s="1365"/>
      <c r="AF720" s="1365"/>
      <c r="AG720" s="1366"/>
      <c r="AH720" s="1370">
        <f t="shared" si="60"/>
        <v>0.29976442873969378</v>
      </c>
      <c r="AI720" s="1371"/>
      <c r="AJ720" s="1372"/>
      <c r="AK720" s="1355" t="s">
        <v>599</v>
      </c>
      <c r="AL720" s="1356"/>
      <c r="AM720" s="1356"/>
      <c r="AN720" s="1356"/>
      <c r="AO720" s="1357"/>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05" customHeight="1">
      <c r="B721" s="1355" t="s">
        <v>163</v>
      </c>
      <c r="C721" s="1356"/>
      <c r="D721" s="1356"/>
      <c r="E721" s="1356"/>
      <c r="F721" s="1357"/>
      <c r="G721" s="1373">
        <v>25</v>
      </c>
      <c r="H721" s="1374"/>
      <c r="I721" s="1374"/>
      <c r="J721" s="1375"/>
      <c r="K721" s="1367">
        <v>717</v>
      </c>
      <c r="L721" s="1368"/>
      <c r="M721" s="1368"/>
      <c r="N721" s="1369"/>
      <c r="O721" s="1361">
        <v>2502</v>
      </c>
      <c r="P721" s="1362"/>
      <c r="Q721" s="1362"/>
      <c r="R721" s="1362"/>
      <c r="S721" s="1363"/>
      <c r="T721" s="1361">
        <v>137</v>
      </c>
      <c r="U721" s="1362"/>
      <c r="V721" s="1362"/>
      <c r="W721" s="1363"/>
      <c r="X721" s="1358">
        <f t="shared" si="59"/>
        <v>2639</v>
      </c>
      <c r="Y721" s="1359"/>
      <c r="Z721" s="1359"/>
      <c r="AA721" s="1359"/>
      <c r="AB721" s="1360"/>
      <c r="AC721" s="1364">
        <v>0.7</v>
      </c>
      <c r="AD721" s="1365"/>
      <c r="AE721" s="1365"/>
      <c r="AF721" s="1365"/>
      <c r="AG721" s="1366"/>
      <c r="AH721" s="1370">
        <f t="shared" si="60"/>
        <v>0.64776632302405501</v>
      </c>
      <c r="AI721" s="1371"/>
      <c r="AJ721" s="1372"/>
      <c r="AK721" s="1355" t="s">
        <v>599</v>
      </c>
      <c r="AL721" s="1356"/>
      <c r="AM721" s="1356"/>
      <c r="AN721" s="1356"/>
      <c r="AO721" s="1357"/>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05" customHeight="1">
      <c r="B722" s="1355" t="s">
        <v>163</v>
      </c>
      <c r="C722" s="1356"/>
      <c r="D722" s="1356"/>
      <c r="E722" s="1356"/>
      <c r="F722" s="1357"/>
      <c r="G722" s="1373">
        <v>7</v>
      </c>
      <c r="H722" s="1374"/>
      <c r="I722" s="1374"/>
      <c r="J722" s="1375"/>
      <c r="K722" s="1367">
        <f>+K721</f>
        <v>717</v>
      </c>
      <c r="L722" s="1368"/>
      <c r="M722" s="1368"/>
      <c r="N722" s="1369"/>
      <c r="O722" s="1361">
        <v>1900</v>
      </c>
      <c r="P722" s="1362"/>
      <c r="Q722" s="1362"/>
      <c r="R722" s="1362"/>
      <c r="S722" s="1363"/>
      <c r="T722" s="1361">
        <v>137</v>
      </c>
      <c r="U722" s="1362"/>
      <c r="V722" s="1362"/>
      <c r="W722" s="1363"/>
      <c r="X722" s="1358">
        <f t="shared" si="59"/>
        <v>2037</v>
      </c>
      <c r="Y722" s="1359"/>
      <c r="Z722" s="1359"/>
      <c r="AA722" s="1359"/>
      <c r="AB722" s="1360"/>
      <c r="AC722" s="1364">
        <v>0.5</v>
      </c>
      <c r="AD722" s="1365"/>
      <c r="AE722" s="1365"/>
      <c r="AF722" s="1365"/>
      <c r="AG722" s="1366"/>
      <c r="AH722" s="1370">
        <f t="shared" si="60"/>
        <v>0.5</v>
      </c>
      <c r="AI722" s="1371"/>
      <c r="AJ722" s="1372"/>
      <c r="AK722" s="1355" t="s">
        <v>599</v>
      </c>
      <c r="AL722" s="1356"/>
      <c r="AM722" s="1356"/>
      <c r="AN722" s="1356"/>
      <c r="AO722" s="1357"/>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05" customHeight="1">
      <c r="B723" s="1355" t="s">
        <v>163</v>
      </c>
      <c r="C723" s="1356"/>
      <c r="D723" s="1356"/>
      <c r="E723" s="1356"/>
      <c r="F723" s="1357"/>
      <c r="G723" s="1373">
        <v>8</v>
      </c>
      <c r="H723" s="1374"/>
      <c r="I723" s="1374"/>
      <c r="J723" s="1375"/>
      <c r="K723" s="1367">
        <f>+K722</f>
        <v>717</v>
      </c>
      <c r="L723" s="1368"/>
      <c r="M723" s="1368"/>
      <c r="N723" s="1369"/>
      <c r="O723" s="1361">
        <v>1085</v>
      </c>
      <c r="P723" s="1362"/>
      <c r="Q723" s="1362"/>
      <c r="R723" s="1362"/>
      <c r="S723" s="1363"/>
      <c r="T723" s="1361">
        <v>137</v>
      </c>
      <c r="U723" s="1362"/>
      <c r="V723" s="1362"/>
      <c r="W723" s="1363"/>
      <c r="X723" s="1358">
        <f t="shared" si="59"/>
        <v>1222</v>
      </c>
      <c r="Y723" s="1359"/>
      <c r="Z723" s="1359"/>
      <c r="AA723" s="1359"/>
      <c r="AB723" s="1360"/>
      <c r="AC723" s="1364">
        <v>0.3</v>
      </c>
      <c r="AD723" s="1365"/>
      <c r="AE723" s="1365"/>
      <c r="AF723" s="1365"/>
      <c r="AG723" s="1366"/>
      <c r="AH723" s="1370">
        <f t="shared" si="60"/>
        <v>0.29995090819833087</v>
      </c>
      <c r="AI723" s="1371"/>
      <c r="AJ723" s="1372"/>
      <c r="AK723" s="1355" t="s">
        <v>599</v>
      </c>
      <c r="AL723" s="1356"/>
      <c r="AM723" s="1356"/>
      <c r="AN723" s="1356"/>
      <c r="AO723" s="1357"/>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05" customHeight="1">
      <c r="B724" s="1355" t="s">
        <v>164</v>
      </c>
      <c r="C724" s="1356"/>
      <c r="D724" s="1356"/>
      <c r="E724" s="1356"/>
      <c r="F724" s="1357"/>
      <c r="G724" s="1373">
        <v>30</v>
      </c>
      <c r="H724" s="1374"/>
      <c r="I724" s="1374"/>
      <c r="J724" s="1375"/>
      <c r="K724" s="1367">
        <v>954</v>
      </c>
      <c r="L724" s="1368"/>
      <c r="M724" s="1368"/>
      <c r="N724" s="1369"/>
      <c r="O724" s="1361">
        <v>2851</v>
      </c>
      <c r="P724" s="1362"/>
      <c r="Q724" s="1362"/>
      <c r="R724" s="1362"/>
      <c r="S724" s="1363"/>
      <c r="T724" s="1361">
        <v>177</v>
      </c>
      <c r="U724" s="1362"/>
      <c r="V724" s="1362"/>
      <c r="W724" s="1363"/>
      <c r="X724" s="1358">
        <f t="shared" si="59"/>
        <v>3028</v>
      </c>
      <c r="Y724" s="1359"/>
      <c r="Z724" s="1359"/>
      <c r="AA724" s="1359"/>
      <c r="AB724" s="1360"/>
      <c r="AC724" s="1364">
        <v>0.7</v>
      </c>
      <c r="AD724" s="1365"/>
      <c r="AE724" s="1365"/>
      <c r="AF724" s="1365"/>
      <c r="AG724" s="1366"/>
      <c r="AH724" s="1370">
        <f t="shared" si="60"/>
        <v>0.643160577740017</v>
      </c>
      <c r="AI724" s="1371"/>
      <c r="AJ724" s="1372"/>
      <c r="AK724" s="1355" t="s">
        <v>599</v>
      </c>
      <c r="AL724" s="1356"/>
      <c r="AM724" s="1356"/>
      <c r="AN724" s="1356"/>
      <c r="AO724" s="1357"/>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05" customHeight="1">
      <c r="B725" s="1355" t="s">
        <v>164</v>
      </c>
      <c r="C725" s="1356"/>
      <c r="D725" s="1356"/>
      <c r="E725" s="1356"/>
      <c r="F725" s="1357"/>
      <c r="G725" s="1373">
        <v>3</v>
      </c>
      <c r="H725" s="1374"/>
      <c r="I725" s="1374"/>
      <c r="J725" s="1375"/>
      <c r="K725" s="1367">
        <f>+K724</f>
        <v>954</v>
      </c>
      <c r="L725" s="1368"/>
      <c r="M725" s="1368"/>
      <c r="N725" s="1369"/>
      <c r="O725" s="1361">
        <v>2177</v>
      </c>
      <c r="P725" s="1362"/>
      <c r="Q725" s="1362"/>
      <c r="R725" s="1362"/>
      <c r="S725" s="1363"/>
      <c r="T725" s="1361">
        <v>177</v>
      </c>
      <c r="U725" s="1362"/>
      <c r="V725" s="1362"/>
      <c r="W725" s="1363"/>
      <c r="X725" s="1358">
        <f t="shared" si="59"/>
        <v>2354</v>
      </c>
      <c r="Y725" s="1359"/>
      <c r="Z725" s="1359"/>
      <c r="AA725" s="1359"/>
      <c r="AB725" s="1360"/>
      <c r="AC725" s="1364">
        <v>0.5</v>
      </c>
      <c r="AD725" s="1365"/>
      <c r="AE725" s="1365"/>
      <c r="AF725" s="1365"/>
      <c r="AG725" s="1366"/>
      <c r="AH725" s="1370">
        <f t="shared" si="60"/>
        <v>0.5</v>
      </c>
      <c r="AI725" s="1371"/>
      <c r="AJ725" s="1372"/>
      <c r="AK725" s="1355" t="s">
        <v>599</v>
      </c>
      <c r="AL725" s="1356"/>
      <c r="AM725" s="1356"/>
      <c r="AN725" s="1356"/>
      <c r="AO725" s="1357"/>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05" customHeight="1">
      <c r="B726" s="1355" t="s">
        <v>164</v>
      </c>
      <c r="C726" s="1356"/>
      <c r="D726" s="1356"/>
      <c r="E726" s="1356"/>
      <c r="F726" s="1357"/>
      <c r="G726" s="1373">
        <v>1</v>
      </c>
      <c r="H726" s="1374"/>
      <c r="I726" s="1374"/>
      <c r="J726" s="1375"/>
      <c r="K726" s="1367">
        <f>+K725</f>
        <v>954</v>
      </c>
      <c r="L726" s="1368"/>
      <c r="M726" s="1368"/>
      <c r="N726" s="1369"/>
      <c r="O726" s="1361">
        <v>2177</v>
      </c>
      <c r="P726" s="1362"/>
      <c r="Q726" s="1362"/>
      <c r="R726" s="1362"/>
      <c r="S726" s="1363"/>
      <c r="T726" s="1361">
        <v>177</v>
      </c>
      <c r="U726" s="1362"/>
      <c r="V726" s="1362"/>
      <c r="W726" s="1363"/>
      <c r="X726" s="1358">
        <f t="shared" si="59"/>
        <v>2354</v>
      </c>
      <c r="Y726" s="1359"/>
      <c r="Z726" s="1359"/>
      <c r="AA726" s="1359"/>
      <c r="AB726" s="1360"/>
      <c r="AC726" s="1364">
        <v>0.5</v>
      </c>
      <c r="AD726" s="1365"/>
      <c r="AE726" s="1365"/>
      <c r="AF726" s="1365"/>
      <c r="AG726" s="1366"/>
      <c r="AH726" s="1370">
        <f t="shared" si="60"/>
        <v>0.5</v>
      </c>
      <c r="AI726" s="1371"/>
      <c r="AJ726" s="1372"/>
      <c r="AK726" s="1355" t="s">
        <v>599</v>
      </c>
      <c r="AL726" s="1356"/>
      <c r="AM726" s="1356"/>
      <c r="AN726" s="1356"/>
      <c r="AO726" s="1357"/>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05" customHeight="1">
      <c r="A727" s="4"/>
      <c r="B727" s="1355" t="s">
        <v>164</v>
      </c>
      <c r="C727" s="1356"/>
      <c r="D727" s="1356"/>
      <c r="E727" s="1356"/>
      <c r="F727" s="1357"/>
      <c r="G727" s="1373">
        <v>4</v>
      </c>
      <c r="H727" s="1374"/>
      <c r="I727" s="1374"/>
      <c r="J727" s="1375"/>
      <c r="K727" s="1367">
        <f>+K726</f>
        <v>954</v>
      </c>
      <c r="L727" s="1368"/>
      <c r="M727" s="1368"/>
      <c r="N727" s="1369"/>
      <c r="O727" s="1361">
        <v>1235</v>
      </c>
      <c r="P727" s="1362"/>
      <c r="Q727" s="1362"/>
      <c r="R727" s="1362"/>
      <c r="S727" s="1363"/>
      <c r="T727" s="1361">
        <v>177</v>
      </c>
      <c r="U727" s="1362"/>
      <c r="V727" s="1362"/>
      <c r="W727" s="1363"/>
      <c r="X727" s="1358">
        <f t="shared" si="59"/>
        <v>1412</v>
      </c>
      <c r="Y727" s="1359"/>
      <c r="Z727" s="1359"/>
      <c r="AA727" s="1359"/>
      <c r="AB727" s="1360"/>
      <c r="AC727" s="1364">
        <v>0.3</v>
      </c>
      <c r="AD727" s="1365"/>
      <c r="AE727" s="1365"/>
      <c r="AF727" s="1365"/>
      <c r="AG727" s="1366"/>
      <c r="AH727" s="1370">
        <f t="shared" si="60"/>
        <v>0.29991503823279525</v>
      </c>
      <c r="AI727" s="1371"/>
      <c r="AJ727" s="1372"/>
      <c r="AK727" s="1355" t="s">
        <v>599</v>
      </c>
      <c r="AL727" s="1356"/>
      <c r="AM727" s="1356"/>
      <c r="AN727" s="1356"/>
      <c r="AO727" s="1357"/>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05" customHeight="1">
      <c r="A728" s="4"/>
      <c r="B728" s="1355"/>
      <c r="C728" s="1356"/>
      <c r="D728" s="1356"/>
      <c r="E728" s="1356"/>
      <c r="F728" s="1357"/>
      <c r="G728" s="1373"/>
      <c r="H728" s="1374"/>
      <c r="I728" s="1374"/>
      <c r="J728" s="1375"/>
      <c r="K728" s="1367"/>
      <c r="L728" s="1368"/>
      <c r="M728" s="1368"/>
      <c r="N728" s="1369"/>
      <c r="O728" s="1361"/>
      <c r="P728" s="1362"/>
      <c r="Q728" s="1362"/>
      <c r="R728" s="1362"/>
      <c r="S728" s="1363"/>
      <c r="T728" s="1361"/>
      <c r="U728" s="1362"/>
      <c r="V728" s="1362"/>
      <c r="W728" s="1363"/>
      <c r="X728" s="1358">
        <f t="shared" si="59"/>
        <v>0</v>
      </c>
      <c r="Y728" s="1359"/>
      <c r="Z728" s="1359"/>
      <c r="AA728" s="1359"/>
      <c r="AB728" s="1360"/>
      <c r="AC728" s="1364"/>
      <c r="AD728" s="1365"/>
      <c r="AE728" s="1365"/>
      <c r="AF728" s="1365"/>
      <c r="AG728" s="1366"/>
      <c r="AH728" s="1370" t="str">
        <f t="shared" si="60"/>
        <v/>
      </c>
      <c r="AI728" s="1371"/>
      <c r="AJ728" s="1372"/>
      <c r="AK728" s="1355" t="s">
        <v>599</v>
      </c>
      <c r="AL728" s="1356"/>
      <c r="AM728" s="1356"/>
      <c r="AN728" s="1356"/>
      <c r="AO728" s="1357"/>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05" customHeight="1">
      <c r="A729" s="4"/>
      <c r="B729" s="1355"/>
      <c r="C729" s="1356"/>
      <c r="D729" s="1356"/>
      <c r="E729" s="1356"/>
      <c r="F729" s="1357"/>
      <c r="G729" s="1373"/>
      <c r="H729" s="1374"/>
      <c r="I729" s="1374"/>
      <c r="J729" s="1375"/>
      <c r="K729" s="1367"/>
      <c r="L729" s="1368"/>
      <c r="M729" s="1368"/>
      <c r="N729" s="1369"/>
      <c r="O729" s="1361"/>
      <c r="P729" s="1362"/>
      <c r="Q729" s="1362"/>
      <c r="R729" s="1362"/>
      <c r="S729" s="1363"/>
      <c r="T729" s="1361"/>
      <c r="U729" s="1362"/>
      <c r="V729" s="1362"/>
      <c r="W729" s="1363"/>
      <c r="X729" s="1358">
        <f t="shared" si="59"/>
        <v>0</v>
      </c>
      <c r="Y729" s="1359"/>
      <c r="Z729" s="1359"/>
      <c r="AA729" s="1359"/>
      <c r="AB729" s="1360"/>
      <c r="AC729" s="1364"/>
      <c r="AD729" s="1365"/>
      <c r="AE729" s="1365"/>
      <c r="AF729" s="1365"/>
      <c r="AG729" s="1366"/>
      <c r="AH729" s="1370" t="str">
        <f t="shared" si="60"/>
        <v/>
      </c>
      <c r="AI729" s="1371"/>
      <c r="AJ729" s="1372"/>
      <c r="AK729" s="1355" t="s">
        <v>599</v>
      </c>
      <c r="AL729" s="1356"/>
      <c r="AM729" s="1356"/>
      <c r="AN729" s="1356"/>
      <c r="AO729" s="1357"/>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05" customHeight="1">
      <c r="B730" s="1355"/>
      <c r="C730" s="1356"/>
      <c r="D730" s="1356"/>
      <c r="E730" s="1356"/>
      <c r="F730" s="1357"/>
      <c r="G730" s="1373"/>
      <c r="H730" s="1374"/>
      <c r="I730" s="1374"/>
      <c r="J730" s="1375"/>
      <c r="K730" s="1367"/>
      <c r="L730" s="1368"/>
      <c r="M730" s="1368"/>
      <c r="N730" s="1369"/>
      <c r="O730" s="1361"/>
      <c r="P730" s="1362"/>
      <c r="Q730" s="1362"/>
      <c r="R730" s="1362"/>
      <c r="S730" s="1363"/>
      <c r="T730" s="1361"/>
      <c r="U730" s="1362"/>
      <c r="V730" s="1362"/>
      <c r="W730" s="1363"/>
      <c r="X730" s="1358">
        <f t="shared" si="59"/>
        <v>0</v>
      </c>
      <c r="Y730" s="1359"/>
      <c r="Z730" s="1359"/>
      <c r="AA730" s="1359"/>
      <c r="AB730" s="1360"/>
      <c r="AC730" s="1364"/>
      <c r="AD730" s="1365"/>
      <c r="AE730" s="1365"/>
      <c r="AF730" s="1365"/>
      <c r="AG730" s="1366"/>
      <c r="AH730" s="1370" t="str">
        <f t="shared" si="60"/>
        <v/>
      </c>
      <c r="AI730" s="1371"/>
      <c r="AJ730" s="1372"/>
      <c r="AK730" s="1355" t="s">
        <v>599</v>
      </c>
      <c r="AL730" s="1356"/>
      <c r="AM730" s="1356"/>
      <c r="AN730" s="1356"/>
      <c r="AO730" s="1357"/>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05" customHeight="1">
      <c r="B731" s="1355"/>
      <c r="C731" s="1356"/>
      <c r="D731" s="1356"/>
      <c r="E731" s="1356"/>
      <c r="F731" s="1357"/>
      <c r="G731" s="1373"/>
      <c r="H731" s="1374"/>
      <c r="I731" s="1374"/>
      <c r="J731" s="1375"/>
      <c r="K731" s="1367"/>
      <c r="L731" s="1368"/>
      <c r="M731" s="1368"/>
      <c r="N731" s="1369"/>
      <c r="O731" s="1361"/>
      <c r="P731" s="1362"/>
      <c r="Q731" s="1362"/>
      <c r="R731" s="1362"/>
      <c r="S731" s="1363"/>
      <c r="T731" s="1361"/>
      <c r="U731" s="1362"/>
      <c r="V731" s="1362"/>
      <c r="W731" s="1363"/>
      <c r="X731" s="1358">
        <f t="shared" si="59"/>
        <v>0</v>
      </c>
      <c r="Y731" s="1359"/>
      <c r="Z731" s="1359"/>
      <c r="AA731" s="1359"/>
      <c r="AB731" s="1360"/>
      <c r="AC731" s="1364"/>
      <c r="AD731" s="1365"/>
      <c r="AE731" s="1365"/>
      <c r="AF731" s="1365"/>
      <c r="AG731" s="1366"/>
      <c r="AH731" s="1370" t="str">
        <f t="shared" si="60"/>
        <v/>
      </c>
      <c r="AI731" s="1371"/>
      <c r="AJ731" s="1372"/>
      <c r="AK731" s="1355" t="s">
        <v>599</v>
      </c>
      <c r="AL731" s="1356"/>
      <c r="AM731" s="1356"/>
      <c r="AN731" s="1356"/>
      <c r="AO731" s="1357"/>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05" customHeight="1">
      <c r="B732" s="1355"/>
      <c r="C732" s="1356"/>
      <c r="D732" s="1356"/>
      <c r="E732" s="1356"/>
      <c r="F732" s="1357"/>
      <c r="G732" s="1373"/>
      <c r="H732" s="1374"/>
      <c r="I732" s="1374"/>
      <c r="J732" s="1375"/>
      <c r="K732" s="1367"/>
      <c r="L732" s="1368"/>
      <c r="M732" s="1368"/>
      <c r="N732" s="1369"/>
      <c r="O732" s="1361"/>
      <c r="P732" s="1362"/>
      <c r="Q732" s="1362"/>
      <c r="R732" s="1362"/>
      <c r="S732" s="1363"/>
      <c r="T732" s="1361"/>
      <c r="U732" s="1362"/>
      <c r="V732" s="1362"/>
      <c r="W732" s="1363"/>
      <c r="X732" s="1358">
        <f t="shared" si="59"/>
        <v>0</v>
      </c>
      <c r="Y732" s="1359"/>
      <c r="Z732" s="1359"/>
      <c r="AA732" s="1359"/>
      <c r="AB732" s="1360"/>
      <c r="AC732" s="1364"/>
      <c r="AD732" s="1365"/>
      <c r="AE732" s="1365"/>
      <c r="AF732" s="1365"/>
      <c r="AG732" s="1366"/>
      <c r="AH732" s="1370" t="str">
        <f t="shared" si="60"/>
        <v/>
      </c>
      <c r="AI732" s="1371"/>
      <c r="AJ732" s="1372"/>
      <c r="AK732" s="1355" t="s">
        <v>599</v>
      </c>
      <c r="AL732" s="1356"/>
      <c r="AM732" s="1356"/>
      <c r="AN732" s="1356"/>
      <c r="AO732" s="1357"/>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05" customHeight="1">
      <c r="B733" s="1355"/>
      <c r="C733" s="1356"/>
      <c r="D733" s="1356"/>
      <c r="E733" s="1356"/>
      <c r="F733" s="1357"/>
      <c r="G733" s="1373"/>
      <c r="H733" s="1374"/>
      <c r="I733" s="1374"/>
      <c r="J733" s="1375"/>
      <c r="K733" s="1367"/>
      <c r="L733" s="1368"/>
      <c r="M733" s="1368"/>
      <c r="N733" s="1369"/>
      <c r="O733" s="1361"/>
      <c r="P733" s="1362"/>
      <c r="Q733" s="1362"/>
      <c r="R733" s="1362"/>
      <c r="S733" s="1363"/>
      <c r="T733" s="1361"/>
      <c r="U733" s="1362"/>
      <c r="V733" s="1362"/>
      <c r="W733" s="1363"/>
      <c r="X733" s="1358">
        <f t="shared" si="59"/>
        <v>0</v>
      </c>
      <c r="Y733" s="1359"/>
      <c r="Z733" s="1359"/>
      <c r="AA733" s="1359"/>
      <c r="AB733" s="1360"/>
      <c r="AC733" s="1364"/>
      <c r="AD733" s="1365"/>
      <c r="AE733" s="1365"/>
      <c r="AF733" s="1365"/>
      <c r="AG733" s="1366"/>
      <c r="AH733" s="1370" t="str">
        <f t="shared" si="60"/>
        <v/>
      </c>
      <c r="AI733" s="1371"/>
      <c r="AJ733" s="1372"/>
      <c r="AK733" s="1355" t="s">
        <v>599</v>
      </c>
      <c r="AL733" s="1356"/>
      <c r="AM733" s="1356"/>
      <c r="AN733" s="1356"/>
      <c r="AO733" s="1357"/>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05" customHeight="1">
      <c r="B734" s="1355"/>
      <c r="C734" s="1356"/>
      <c r="D734" s="1356"/>
      <c r="E734" s="1356"/>
      <c r="F734" s="1357"/>
      <c r="G734" s="1373"/>
      <c r="H734" s="1374"/>
      <c r="I734" s="1374"/>
      <c r="J734" s="1375"/>
      <c r="K734" s="1367"/>
      <c r="L734" s="1368"/>
      <c r="M734" s="1368"/>
      <c r="N734" s="1369"/>
      <c r="O734" s="1361"/>
      <c r="P734" s="1362"/>
      <c r="Q734" s="1362"/>
      <c r="R734" s="1362"/>
      <c r="S734" s="1363"/>
      <c r="T734" s="1361"/>
      <c r="U734" s="1362"/>
      <c r="V734" s="1362"/>
      <c r="W734" s="1363"/>
      <c r="X734" s="1358">
        <f t="shared" si="59"/>
        <v>0</v>
      </c>
      <c r="Y734" s="1359"/>
      <c r="Z734" s="1359"/>
      <c r="AA734" s="1359"/>
      <c r="AB734" s="1360"/>
      <c r="AC734" s="1364"/>
      <c r="AD734" s="1365"/>
      <c r="AE734" s="1365"/>
      <c r="AF734" s="1365"/>
      <c r="AG734" s="1366"/>
      <c r="AH734" s="1370" t="str">
        <f t="shared" si="60"/>
        <v/>
      </c>
      <c r="AI734" s="1371"/>
      <c r="AJ734" s="1372"/>
      <c r="AK734" s="1355" t="s">
        <v>599</v>
      </c>
      <c r="AL734" s="1356"/>
      <c r="AM734" s="1356"/>
      <c r="AN734" s="1356"/>
      <c r="AO734" s="1357"/>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05" customHeight="1">
      <c r="B735" s="1355"/>
      <c r="C735" s="1356"/>
      <c r="D735" s="1356"/>
      <c r="E735" s="1356"/>
      <c r="F735" s="1357"/>
      <c r="G735" s="1373"/>
      <c r="H735" s="1374"/>
      <c r="I735" s="1374"/>
      <c r="J735" s="1375"/>
      <c r="K735" s="1367"/>
      <c r="L735" s="1368"/>
      <c r="M735" s="1368"/>
      <c r="N735" s="1369"/>
      <c r="O735" s="1361"/>
      <c r="P735" s="1362"/>
      <c r="Q735" s="1362"/>
      <c r="R735" s="1362"/>
      <c r="S735" s="1363"/>
      <c r="T735" s="1361"/>
      <c r="U735" s="1362"/>
      <c r="V735" s="1362"/>
      <c r="W735" s="1363"/>
      <c r="X735" s="1358">
        <f t="shared" si="59"/>
        <v>0</v>
      </c>
      <c r="Y735" s="1359"/>
      <c r="Z735" s="1359"/>
      <c r="AA735" s="1359"/>
      <c r="AB735" s="1360"/>
      <c r="AC735" s="1364"/>
      <c r="AD735" s="1365"/>
      <c r="AE735" s="1365"/>
      <c r="AF735" s="1365"/>
      <c r="AG735" s="1366"/>
      <c r="AH735" s="1370" t="str">
        <f t="shared" si="60"/>
        <v/>
      </c>
      <c r="AI735" s="1371"/>
      <c r="AJ735" s="1372"/>
      <c r="AK735" s="1355" t="s">
        <v>599</v>
      </c>
      <c r="AL735" s="1356"/>
      <c r="AM735" s="1356"/>
      <c r="AN735" s="1356"/>
      <c r="AO735" s="1357"/>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05" customHeight="1">
      <c r="B736" s="1355"/>
      <c r="C736" s="1356"/>
      <c r="D736" s="1356"/>
      <c r="E736" s="1356"/>
      <c r="F736" s="1357"/>
      <c r="G736" s="1373"/>
      <c r="H736" s="1374"/>
      <c r="I736" s="1374"/>
      <c r="J736" s="1375"/>
      <c r="K736" s="1367"/>
      <c r="L736" s="1368"/>
      <c r="M736" s="1368"/>
      <c r="N736" s="1369"/>
      <c r="O736" s="1361"/>
      <c r="P736" s="1362"/>
      <c r="Q736" s="1362"/>
      <c r="R736" s="1362"/>
      <c r="S736" s="1363"/>
      <c r="T736" s="1361"/>
      <c r="U736" s="1362"/>
      <c r="V736" s="1362"/>
      <c r="W736" s="1363"/>
      <c r="X736" s="1358">
        <f t="shared" si="59"/>
        <v>0</v>
      </c>
      <c r="Y736" s="1359"/>
      <c r="Z736" s="1359"/>
      <c r="AA736" s="1359"/>
      <c r="AB736" s="1360"/>
      <c r="AC736" s="1364"/>
      <c r="AD736" s="1365"/>
      <c r="AE736" s="1365"/>
      <c r="AF736" s="1365"/>
      <c r="AG736" s="1366"/>
      <c r="AH736" s="1370" t="str">
        <f t="shared" si="60"/>
        <v/>
      </c>
      <c r="AI736" s="1371"/>
      <c r="AJ736" s="1372"/>
      <c r="AK736" s="1355" t="s">
        <v>599</v>
      </c>
      <c r="AL736" s="1356"/>
      <c r="AM736" s="1356"/>
      <c r="AN736" s="1356"/>
      <c r="AO736" s="1357"/>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05" customHeight="1">
      <c r="B737" s="1355"/>
      <c r="C737" s="1356"/>
      <c r="D737" s="1356"/>
      <c r="E737" s="1356"/>
      <c r="F737" s="1357"/>
      <c r="G737" s="1373"/>
      <c r="H737" s="1374"/>
      <c r="I737" s="1374"/>
      <c r="J737" s="1375"/>
      <c r="K737" s="1367"/>
      <c r="L737" s="1368"/>
      <c r="M737" s="1368"/>
      <c r="N737" s="1369"/>
      <c r="O737" s="1361"/>
      <c r="P737" s="1362"/>
      <c r="Q737" s="1362"/>
      <c r="R737" s="1362"/>
      <c r="S737" s="1363"/>
      <c r="T737" s="1361"/>
      <c r="U737" s="1362"/>
      <c r="V737" s="1362"/>
      <c r="W737" s="1363"/>
      <c r="X737" s="1358">
        <f t="shared" si="59"/>
        <v>0</v>
      </c>
      <c r="Y737" s="1359"/>
      <c r="Z737" s="1359"/>
      <c r="AA737" s="1359"/>
      <c r="AB737" s="1360"/>
      <c r="AC737" s="1364"/>
      <c r="AD737" s="1365"/>
      <c r="AE737" s="1365"/>
      <c r="AF737" s="1365"/>
      <c r="AG737" s="1366"/>
      <c r="AH737" s="1370" t="str">
        <f t="shared" si="60"/>
        <v/>
      </c>
      <c r="AI737" s="1371"/>
      <c r="AJ737" s="1372"/>
      <c r="AK737" s="1355" t="s">
        <v>599</v>
      </c>
      <c r="AL737" s="1356"/>
      <c r="AM737" s="1356"/>
      <c r="AN737" s="1356"/>
      <c r="AO737" s="1357"/>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05" customHeight="1">
      <c r="B738" s="1355"/>
      <c r="C738" s="1356"/>
      <c r="D738" s="1356"/>
      <c r="E738" s="1356"/>
      <c r="F738" s="1357"/>
      <c r="G738" s="1373"/>
      <c r="H738" s="1374"/>
      <c r="I738" s="1374"/>
      <c r="J738" s="1375"/>
      <c r="K738" s="1367"/>
      <c r="L738" s="1368"/>
      <c r="M738" s="1368"/>
      <c r="N738" s="1369"/>
      <c r="O738" s="1361"/>
      <c r="P738" s="1362"/>
      <c r="Q738" s="1362"/>
      <c r="R738" s="1362"/>
      <c r="S738" s="1363"/>
      <c r="T738" s="1361"/>
      <c r="U738" s="1362"/>
      <c r="V738" s="1362"/>
      <c r="W738" s="1363"/>
      <c r="X738" s="1358">
        <f t="shared" si="59"/>
        <v>0</v>
      </c>
      <c r="Y738" s="1359"/>
      <c r="Z738" s="1359"/>
      <c r="AA738" s="1359"/>
      <c r="AB738" s="1360"/>
      <c r="AC738" s="1364"/>
      <c r="AD738" s="1365"/>
      <c r="AE738" s="1365"/>
      <c r="AF738" s="1365"/>
      <c r="AG738" s="1366"/>
      <c r="AH738" s="1370" t="str">
        <f t="shared" si="60"/>
        <v/>
      </c>
      <c r="AI738" s="1371"/>
      <c r="AJ738" s="1372"/>
      <c r="AK738" s="1355" t="s">
        <v>599</v>
      </c>
      <c r="AL738" s="1356"/>
      <c r="AM738" s="1356"/>
      <c r="AN738" s="1356"/>
      <c r="AO738" s="1357"/>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05" customHeight="1">
      <c r="B739" s="1355"/>
      <c r="C739" s="1356"/>
      <c r="D739" s="1356"/>
      <c r="E739" s="1356"/>
      <c r="F739" s="1357"/>
      <c r="G739" s="1373"/>
      <c r="H739" s="1374"/>
      <c r="I739" s="1374"/>
      <c r="J739" s="1375"/>
      <c r="K739" s="1367"/>
      <c r="L739" s="1368"/>
      <c r="M739" s="1368"/>
      <c r="N739" s="1369"/>
      <c r="O739" s="1361"/>
      <c r="P739" s="1362"/>
      <c r="Q739" s="1362"/>
      <c r="R739" s="1362"/>
      <c r="S739" s="1363"/>
      <c r="T739" s="1361"/>
      <c r="U739" s="1362"/>
      <c r="V739" s="1362"/>
      <c r="W739" s="1363"/>
      <c r="X739" s="1358">
        <f t="shared" si="59"/>
        <v>0</v>
      </c>
      <c r="Y739" s="1359"/>
      <c r="Z739" s="1359"/>
      <c r="AA739" s="1359"/>
      <c r="AB739" s="1360"/>
      <c r="AC739" s="1364"/>
      <c r="AD739" s="1365"/>
      <c r="AE739" s="1365"/>
      <c r="AF739" s="1365"/>
      <c r="AG739" s="1366"/>
      <c r="AH739" s="1370" t="str">
        <f t="shared" si="60"/>
        <v/>
      </c>
      <c r="AI739" s="1371"/>
      <c r="AJ739" s="1372"/>
      <c r="AK739" s="1355" t="s">
        <v>599</v>
      </c>
      <c r="AL739" s="1356"/>
      <c r="AM739" s="1356"/>
      <c r="AN739" s="1356"/>
      <c r="AO739" s="1357"/>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05" customHeight="1">
      <c r="B740" s="1355"/>
      <c r="C740" s="1356"/>
      <c r="D740" s="1356"/>
      <c r="E740" s="1356"/>
      <c r="F740" s="1357"/>
      <c r="G740" s="1373"/>
      <c r="H740" s="1374"/>
      <c r="I740" s="1374"/>
      <c r="J740" s="1375"/>
      <c r="K740" s="1367"/>
      <c r="L740" s="1368"/>
      <c r="M740" s="1368"/>
      <c r="N740" s="1369"/>
      <c r="O740" s="1361"/>
      <c r="P740" s="1362"/>
      <c r="Q740" s="1362"/>
      <c r="R740" s="1362"/>
      <c r="S740" s="1363"/>
      <c r="T740" s="1361"/>
      <c r="U740" s="1362"/>
      <c r="V740" s="1362"/>
      <c r="W740" s="1363"/>
      <c r="X740" s="1358">
        <f t="shared" si="59"/>
        <v>0</v>
      </c>
      <c r="Y740" s="1359"/>
      <c r="Z740" s="1359"/>
      <c r="AA740" s="1359"/>
      <c r="AB740" s="1360"/>
      <c r="AC740" s="1364"/>
      <c r="AD740" s="1365"/>
      <c r="AE740" s="1365"/>
      <c r="AF740" s="1365"/>
      <c r="AG740" s="1366"/>
      <c r="AH740" s="1370" t="str">
        <f t="shared" si="60"/>
        <v/>
      </c>
      <c r="AI740" s="1371"/>
      <c r="AJ740" s="1372"/>
      <c r="AK740" s="1355" t="s">
        <v>599</v>
      </c>
      <c r="AL740" s="1356"/>
      <c r="AM740" s="1356"/>
      <c r="AN740" s="1356"/>
      <c r="AO740" s="1357"/>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05" customHeight="1">
      <c r="B741" s="1355"/>
      <c r="C741" s="1356"/>
      <c r="D741" s="1356"/>
      <c r="E741" s="1356"/>
      <c r="F741" s="1357"/>
      <c r="G741" s="1373"/>
      <c r="H741" s="1374"/>
      <c r="I741" s="1374"/>
      <c r="J741" s="1375"/>
      <c r="K741" s="1367"/>
      <c r="L741" s="1368"/>
      <c r="M741" s="1368"/>
      <c r="N741" s="1369"/>
      <c r="O741" s="1361"/>
      <c r="P741" s="1362"/>
      <c r="Q741" s="1362"/>
      <c r="R741" s="1362"/>
      <c r="S741" s="1363"/>
      <c r="T741" s="1361"/>
      <c r="U741" s="1362"/>
      <c r="V741" s="1362"/>
      <c r="W741" s="1363"/>
      <c r="X741" s="1358">
        <f t="shared" si="59"/>
        <v>0</v>
      </c>
      <c r="Y741" s="1359"/>
      <c r="Z741" s="1359"/>
      <c r="AA741" s="1359"/>
      <c r="AB741" s="1360"/>
      <c r="AC741" s="1364"/>
      <c r="AD741" s="1365"/>
      <c r="AE741" s="1365"/>
      <c r="AF741" s="1365"/>
      <c r="AG741" s="1366"/>
      <c r="AH741" s="1370" t="str">
        <f t="shared" si="60"/>
        <v/>
      </c>
      <c r="AI741" s="1371"/>
      <c r="AJ741" s="1372"/>
      <c r="AK741" s="1355" t="s">
        <v>599</v>
      </c>
      <c r="AL741" s="1356"/>
      <c r="AM741" s="1356"/>
      <c r="AN741" s="1356"/>
      <c r="AO741" s="1357"/>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05" customHeight="1">
      <c r="B742" s="1355"/>
      <c r="C742" s="1356"/>
      <c r="D742" s="1356"/>
      <c r="E742" s="1356"/>
      <c r="F742" s="1357"/>
      <c r="G742" s="1373"/>
      <c r="H742" s="1374"/>
      <c r="I742" s="1374"/>
      <c r="J742" s="1375"/>
      <c r="K742" s="1367"/>
      <c r="L742" s="1368"/>
      <c r="M742" s="1368"/>
      <c r="N742" s="1369"/>
      <c r="O742" s="1361"/>
      <c r="P742" s="1362"/>
      <c r="Q742" s="1362"/>
      <c r="R742" s="1362"/>
      <c r="S742" s="1363"/>
      <c r="T742" s="1361"/>
      <c r="U742" s="1362"/>
      <c r="V742" s="1362"/>
      <c r="W742" s="1363"/>
      <c r="X742" s="1358">
        <f t="shared" ref="X742:X751" si="61">O742+T742</f>
        <v>0</v>
      </c>
      <c r="Y742" s="1359"/>
      <c r="Z742" s="1359"/>
      <c r="AA742" s="1359"/>
      <c r="AB742" s="1360"/>
      <c r="AC742" s="1364"/>
      <c r="AD742" s="1365"/>
      <c r="AE742" s="1365"/>
      <c r="AF742" s="1365"/>
      <c r="AG742" s="1366"/>
      <c r="AH742" s="1370" t="str">
        <f t="shared" si="60"/>
        <v/>
      </c>
      <c r="AI742" s="1371"/>
      <c r="AJ742" s="1372"/>
      <c r="AK742" s="1355" t="s">
        <v>599</v>
      </c>
      <c r="AL742" s="1356"/>
      <c r="AM742" s="1356"/>
      <c r="AN742" s="1356"/>
      <c r="AO742" s="1357"/>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05" customHeight="1">
      <c r="A743"/>
      <c r="B743" s="1355"/>
      <c r="C743" s="1356"/>
      <c r="D743" s="1356"/>
      <c r="E743" s="1356"/>
      <c r="F743" s="1357"/>
      <c r="G743" s="1373"/>
      <c r="H743" s="1374"/>
      <c r="I743" s="1374"/>
      <c r="J743" s="1375"/>
      <c r="K743" s="1367"/>
      <c r="L743" s="1368"/>
      <c r="M743" s="1368"/>
      <c r="N743" s="1369"/>
      <c r="O743" s="1361"/>
      <c r="P743" s="1362"/>
      <c r="Q743" s="1362"/>
      <c r="R743" s="1362"/>
      <c r="S743" s="1363"/>
      <c r="T743" s="1361"/>
      <c r="U743" s="1362"/>
      <c r="V743" s="1362"/>
      <c r="W743" s="1363"/>
      <c r="X743" s="1358">
        <f t="shared" si="61"/>
        <v>0</v>
      </c>
      <c r="Y743" s="1359"/>
      <c r="Z743" s="1359"/>
      <c r="AA743" s="1359"/>
      <c r="AB743" s="1360"/>
      <c r="AC743" s="1364"/>
      <c r="AD743" s="1365"/>
      <c r="AE743" s="1365"/>
      <c r="AF743" s="1365"/>
      <c r="AG743" s="1366"/>
      <c r="AH743" s="1370" t="str">
        <f t="shared" si="60"/>
        <v/>
      </c>
      <c r="AI743" s="1371"/>
      <c r="AJ743" s="1372"/>
      <c r="AK743" s="1355" t="s">
        <v>599</v>
      </c>
      <c r="AL743" s="1356"/>
      <c r="AM743" s="1356"/>
      <c r="AN743" s="1356"/>
      <c r="AO743" s="1357"/>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05" customHeight="1">
      <c r="B744" s="1355"/>
      <c r="C744" s="1356"/>
      <c r="D744" s="1356"/>
      <c r="E744" s="1356"/>
      <c r="F744" s="1357"/>
      <c r="G744" s="1373"/>
      <c r="H744" s="1374"/>
      <c r="I744" s="1374"/>
      <c r="J744" s="1375"/>
      <c r="K744" s="1367"/>
      <c r="L744" s="1368"/>
      <c r="M744" s="1368"/>
      <c r="N744" s="1369"/>
      <c r="O744" s="1361"/>
      <c r="P744" s="1362"/>
      <c r="Q744" s="1362"/>
      <c r="R744" s="1362"/>
      <c r="S744" s="1363"/>
      <c r="T744" s="1361"/>
      <c r="U744" s="1362"/>
      <c r="V744" s="1362"/>
      <c r="W744" s="1363"/>
      <c r="X744" s="1358">
        <f t="shared" si="61"/>
        <v>0</v>
      </c>
      <c r="Y744" s="1359"/>
      <c r="Z744" s="1359"/>
      <c r="AA744" s="1359"/>
      <c r="AB744" s="1360"/>
      <c r="AC744" s="1364"/>
      <c r="AD744" s="1365"/>
      <c r="AE744" s="1365"/>
      <c r="AF744" s="1365"/>
      <c r="AG744" s="1366"/>
      <c r="AH744" s="1370" t="str">
        <f t="shared" si="60"/>
        <v/>
      </c>
      <c r="AI744" s="1371"/>
      <c r="AJ744" s="1372"/>
      <c r="AK744" s="1355" t="s">
        <v>599</v>
      </c>
      <c r="AL744" s="1356"/>
      <c r="AM744" s="1356"/>
      <c r="AN744" s="1356"/>
      <c r="AO744" s="1357"/>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05" customHeight="1">
      <c r="B745" s="1355"/>
      <c r="C745" s="1356"/>
      <c r="D745" s="1356"/>
      <c r="E745" s="1356"/>
      <c r="F745" s="1357"/>
      <c r="G745" s="1373"/>
      <c r="H745" s="1374"/>
      <c r="I745" s="1374"/>
      <c r="J745" s="1375"/>
      <c r="K745" s="1367"/>
      <c r="L745" s="1368"/>
      <c r="M745" s="1368"/>
      <c r="N745" s="1369"/>
      <c r="O745" s="1361"/>
      <c r="P745" s="1362"/>
      <c r="Q745" s="1362"/>
      <c r="R745" s="1362"/>
      <c r="S745" s="1363"/>
      <c r="T745" s="1361"/>
      <c r="U745" s="1362"/>
      <c r="V745" s="1362"/>
      <c r="W745" s="1363"/>
      <c r="X745" s="1358">
        <f t="shared" si="61"/>
        <v>0</v>
      </c>
      <c r="Y745" s="1359"/>
      <c r="Z745" s="1359"/>
      <c r="AA745" s="1359"/>
      <c r="AB745" s="1360"/>
      <c r="AC745" s="1364"/>
      <c r="AD745" s="1365"/>
      <c r="AE745" s="1365"/>
      <c r="AF745" s="1365"/>
      <c r="AG745" s="1366"/>
      <c r="AH745" s="1370" t="str">
        <f t="shared" si="60"/>
        <v/>
      </c>
      <c r="AI745" s="1371"/>
      <c r="AJ745" s="1372"/>
      <c r="AK745" s="1355" t="s">
        <v>599</v>
      </c>
      <c r="AL745" s="1356"/>
      <c r="AM745" s="1356"/>
      <c r="AN745" s="1356"/>
      <c r="AO745" s="1357"/>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05" customHeight="1">
      <c r="B746" s="1355"/>
      <c r="C746" s="1356"/>
      <c r="D746" s="1356"/>
      <c r="E746" s="1356"/>
      <c r="F746" s="1357"/>
      <c r="G746" s="1373"/>
      <c r="H746" s="1374"/>
      <c r="I746" s="1374"/>
      <c r="J746" s="1375"/>
      <c r="K746" s="1367"/>
      <c r="L746" s="1368"/>
      <c r="M746" s="1368"/>
      <c r="N746" s="1369"/>
      <c r="O746" s="1361"/>
      <c r="P746" s="1362"/>
      <c r="Q746" s="1362"/>
      <c r="R746" s="1362"/>
      <c r="S746" s="1363"/>
      <c r="T746" s="1361"/>
      <c r="U746" s="1362"/>
      <c r="V746" s="1362"/>
      <c r="W746" s="1363"/>
      <c r="X746" s="1358">
        <f t="shared" si="61"/>
        <v>0</v>
      </c>
      <c r="Y746" s="1359"/>
      <c r="Z746" s="1359"/>
      <c r="AA746" s="1359"/>
      <c r="AB746" s="1360"/>
      <c r="AC746" s="1364"/>
      <c r="AD746" s="1365"/>
      <c r="AE746" s="1365"/>
      <c r="AF746" s="1365"/>
      <c r="AG746" s="1366"/>
      <c r="AH746" s="1370" t="str">
        <f t="shared" si="60"/>
        <v/>
      </c>
      <c r="AI746" s="1371"/>
      <c r="AJ746" s="1372"/>
      <c r="AK746" s="1355" t="s">
        <v>599</v>
      </c>
      <c r="AL746" s="1356"/>
      <c r="AM746" s="1356"/>
      <c r="AN746" s="1356"/>
      <c r="AO746" s="1357"/>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05" customHeight="1">
      <c r="B747" s="1355"/>
      <c r="C747" s="1356"/>
      <c r="D747" s="1356"/>
      <c r="E747" s="1356"/>
      <c r="F747" s="1357"/>
      <c r="G747" s="1373"/>
      <c r="H747" s="1374"/>
      <c r="I747" s="1374"/>
      <c r="J747" s="1375"/>
      <c r="K747" s="1367"/>
      <c r="L747" s="1368"/>
      <c r="M747" s="1368"/>
      <c r="N747" s="1369"/>
      <c r="O747" s="1361"/>
      <c r="P747" s="1362"/>
      <c r="Q747" s="1362"/>
      <c r="R747" s="1362"/>
      <c r="S747" s="1363"/>
      <c r="T747" s="1361"/>
      <c r="U747" s="1362"/>
      <c r="V747" s="1362"/>
      <c r="W747" s="1363"/>
      <c r="X747" s="1358">
        <f t="shared" si="61"/>
        <v>0</v>
      </c>
      <c r="Y747" s="1359"/>
      <c r="Z747" s="1359"/>
      <c r="AA747" s="1359"/>
      <c r="AB747" s="1360"/>
      <c r="AC747" s="1364"/>
      <c r="AD747" s="1365"/>
      <c r="AE747" s="1365"/>
      <c r="AF747" s="1365"/>
      <c r="AG747" s="1366"/>
      <c r="AH747" s="1370" t="str">
        <f t="shared" si="60"/>
        <v/>
      </c>
      <c r="AI747" s="1371"/>
      <c r="AJ747" s="1372"/>
      <c r="AK747" s="1355" t="s">
        <v>599</v>
      </c>
      <c r="AL747" s="1356"/>
      <c r="AM747" s="1356"/>
      <c r="AN747" s="1356"/>
      <c r="AO747" s="1357"/>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05" customHeight="1">
      <c r="A748"/>
      <c r="B748" s="1355"/>
      <c r="C748" s="1356"/>
      <c r="D748" s="1356"/>
      <c r="E748" s="1356"/>
      <c r="F748" s="1357"/>
      <c r="G748" s="1373"/>
      <c r="H748" s="1374"/>
      <c r="I748" s="1374"/>
      <c r="J748" s="1375"/>
      <c r="K748" s="1367"/>
      <c r="L748" s="1368"/>
      <c r="M748" s="1368"/>
      <c r="N748" s="1369"/>
      <c r="O748" s="1361"/>
      <c r="P748" s="1362"/>
      <c r="Q748" s="1362"/>
      <c r="R748" s="1362"/>
      <c r="S748" s="1363"/>
      <c r="T748" s="1361"/>
      <c r="U748" s="1362"/>
      <c r="V748" s="1362"/>
      <c r="W748" s="1363"/>
      <c r="X748" s="1358">
        <f t="shared" si="61"/>
        <v>0</v>
      </c>
      <c r="Y748" s="1359"/>
      <c r="Z748" s="1359"/>
      <c r="AA748" s="1359"/>
      <c r="AB748" s="1360"/>
      <c r="AC748" s="1364"/>
      <c r="AD748" s="1365"/>
      <c r="AE748" s="1365"/>
      <c r="AF748" s="1365"/>
      <c r="AG748" s="1366"/>
      <c r="AH748" s="1370" t="str">
        <f t="shared" si="60"/>
        <v/>
      </c>
      <c r="AI748" s="1371"/>
      <c r="AJ748" s="1372"/>
      <c r="AK748" s="1355" t="s">
        <v>599</v>
      </c>
      <c r="AL748" s="1356"/>
      <c r="AM748" s="1356"/>
      <c r="AN748" s="1356"/>
      <c r="AO748" s="1357"/>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05" customHeight="1">
      <c r="A749"/>
      <c r="B749" s="1355"/>
      <c r="C749" s="1356"/>
      <c r="D749" s="1356"/>
      <c r="E749" s="1356"/>
      <c r="F749" s="1357"/>
      <c r="G749" s="1373"/>
      <c r="H749" s="1374"/>
      <c r="I749" s="1374"/>
      <c r="J749" s="1375"/>
      <c r="K749" s="1367"/>
      <c r="L749" s="1368"/>
      <c r="M749" s="1368"/>
      <c r="N749" s="1369"/>
      <c r="O749" s="1361"/>
      <c r="P749" s="1362"/>
      <c r="Q749" s="1362"/>
      <c r="R749" s="1362"/>
      <c r="S749" s="1363"/>
      <c r="T749" s="1361"/>
      <c r="U749" s="1362"/>
      <c r="V749" s="1362"/>
      <c r="W749" s="1363"/>
      <c r="X749" s="1358">
        <f t="shared" si="61"/>
        <v>0</v>
      </c>
      <c r="Y749" s="1359"/>
      <c r="Z749" s="1359"/>
      <c r="AA749" s="1359"/>
      <c r="AB749" s="1360"/>
      <c r="AC749" s="1364"/>
      <c r="AD749" s="1365"/>
      <c r="AE749" s="1365"/>
      <c r="AF749" s="1365"/>
      <c r="AG749" s="1366"/>
      <c r="AH749" s="1370" t="str">
        <f t="shared" si="60"/>
        <v/>
      </c>
      <c r="AI749" s="1371"/>
      <c r="AJ749" s="1372"/>
      <c r="AK749" s="1355" t="s">
        <v>599</v>
      </c>
      <c r="AL749" s="1356"/>
      <c r="AM749" s="1356"/>
      <c r="AN749" s="1356"/>
      <c r="AO749" s="1357"/>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05" customHeight="1">
      <c r="A750"/>
      <c r="B750" s="1355"/>
      <c r="C750" s="1356"/>
      <c r="D750" s="1356"/>
      <c r="E750" s="1356"/>
      <c r="F750" s="1357"/>
      <c r="G750" s="1373"/>
      <c r="H750" s="1374"/>
      <c r="I750" s="1374"/>
      <c r="J750" s="1375"/>
      <c r="K750" s="1367"/>
      <c r="L750" s="1368"/>
      <c r="M750" s="1368"/>
      <c r="N750" s="1369"/>
      <c r="O750" s="1361"/>
      <c r="P750" s="1362"/>
      <c r="Q750" s="1362"/>
      <c r="R750" s="1362"/>
      <c r="S750" s="1363"/>
      <c r="T750" s="1361"/>
      <c r="U750" s="1362"/>
      <c r="V750" s="1362"/>
      <c r="W750" s="1363"/>
      <c r="X750" s="1358">
        <f t="shared" si="61"/>
        <v>0</v>
      </c>
      <c r="Y750" s="1359"/>
      <c r="Z750" s="1359"/>
      <c r="AA750" s="1359"/>
      <c r="AB750" s="1360"/>
      <c r="AC750" s="1364"/>
      <c r="AD750" s="1365"/>
      <c r="AE750" s="1365"/>
      <c r="AF750" s="1365"/>
      <c r="AG750" s="1366"/>
      <c r="AH750" s="1370" t="str">
        <f t="shared" si="60"/>
        <v/>
      </c>
      <c r="AI750" s="1371"/>
      <c r="AJ750" s="1372"/>
      <c r="AK750" s="1355" t="s">
        <v>599</v>
      </c>
      <c r="AL750" s="1356"/>
      <c r="AM750" s="1356"/>
      <c r="AN750" s="1356"/>
      <c r="AO750" s="135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05" customHeight="1">
      <c r="A751"/>
      <c r="B751" s="1355"/>
      <c r="C751" s="1356"/>
      <c r="D751" s="1356"/>
      <c r="E751" s="1356"/>
      <c r="F751" s="1357"/>
      <c r="G751" s="1373"/>
      <c r="H751" s="1374"/>
      <c r="I751" s="1374"/>
      <c r="J751" s="1375"/>
      <c r="K751" s="1367"/>
      <c r="L751" s="1368"/>
      <c r="M751" s="1368"/>
      <c r="N751" s="1369"/>
      <c r="O751" s="1361"/>
      <c r="P751" s="1362"/>
      <c r="Q751" s="1362"/>
      <c r="R751" s="1362"/>
      <c r="S751" s="1363"/>
      <c r="T751" s="1361"/>
      <c r="U751" s="1362"/>
      <c r="V751" s="1362"/>
      <c r="W751" s="1363"/>
      <c r="X751" s="1358">
        <f t="shared" si="61"/>
        <v>0</v>
      </c>
      <c r="Y751" s="1359"/>
      <c r="Z751" s="1359"/>
      <c r="AA751" s="1359"/>
      <c r="AB751" s="1360"/>
      <c r="AC751" s="1364"/>
      <c r="AD751" s="1365"/>
      <c r="AE751" s="1365"/>
      <c r="AF751" s="1365"/>
      <c r="AG751" s="1366"/>
      <c r="AH751" s="1370" t="str">
        <f t="shared" si="60"/>
        <v/>
      </c>
      <c r="AI751" s="1371"/>
      <c r="AJ751" s="1372"/>
      <c r="AK751" s="1355" t="s">
        <v>599</v>
      </c>
      <c r="AL751" s="1356"/>
      <c r="AM751" s="1356"/>
      <c r="AN751" s="1356"/>
      <c r="AO751" s="135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05" customHeight="1">
      <c r="A752"/>
      <c r="B752" s="1355"/>
      <c r="C752" s="1356"/>
      <c r="D752" s="1356"/>
      <c r="E752" s="1356"/>
      <c r="F752" s="1357"/>
      <c r="G752" s="1373"/>
      <c r="H752" s="1374"/>
      <c r="I752" s="1374"/>
      <c r="J752" s="1375"/>
      <c r="K752" s="1367"/>
      <c r="L752" s="1368"/>
      <c r="M752" s="1368"/>
      <c r="N752" s="1369"/>
      <c r="O752" s="1361"/>
      <c r="P752" s="1362"/>
      <c r="Q752" s="1362"/>
      <c r="R752" s="1362"/>
      <c r="S752" s="1363"/>
      <c r="T752" s="1361"/>
      <c r="U752" s="1362"/>
      <c r="V752" s="1362"/>
      <c r="W752" s="1363"/>
      <c r="X752" s="1358">
        <f>O752+T752</f>
        <v>0</v>
      </c>
      <c r="Y752" s="1359"/>
      <c r="Z752" s="1359"/>
      <c r="AA752" s="1359"/>
      <c r="AB752" s="1360"/>
      <c r="AC752" s="1364"/>
      <c r="AD752" s="1365"/>
      <c r="AE752" s="1365"/>
      <c r="AF752" s="1365"/>
      <c r="AG752" s="1366"/>
      <c r="AH752" s="1370" t="str">
        <f>IF($AC752&gt;0,($X752/$BA701), "")</f>
        <v/>
      </c>
      <c r="AI752" s="1371"/>
      <c r="AJ752" s="1372"/>
      <c r="AK752" s="1355" t="s">
        <v>599</v>
      </c>
      <c r="AL752" s="1356"/>
      <c r="AM752" s="1356"/>
      <c r="AN752" s="1356"/>
      <c r="AO752" s="135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05" customHeight="1">
      <c r="A753"/>
      <c r="B753" s="1376" t="s">
        <v>125</v>
      </c>
      <c r="C753" s="1377"/>
      <c r="D753" s="1377"/>
      <c r="E753" s="1377"/>
      <c r="F753" s="1378"/>
      <c r="G753" s="1383">
        <f>SUM(G718:G752)</f>
        <v>99</v>
      </c>
      <c r="H753" s="1384"/>
      <c r="I753" s="1384"/>
      <c r="J753" s="1385"/>
      <c r="K753" s="937" t="s">
        <v>124</v>
      </c>
      <c r="L753" s="5"/>
      <c r="M753" s="5"/>
      <c r="N753" s="46"/>
      <c r="O753" s="1358">
        <f>SUMPRODUCT(G718:G752,O718:O752)</f>
        <v>209795</v>
      </c>
      <c r="P753" s="1359"/>
      <c r="Q753" s="1359"/>
      <c r="R753" s="1359"/>
      <c r="S753" s="1360"/>
      <c r="T753"/>
      <c r="U753"/>
      <c r="V753"/>
      <c r="W753"/>
      <c r="X753" s="939" t="s">
        <v>914</v>
      </c>
      <c r="Y753" s="938"/>
      <c r="Z753" s="938"/>
      <c r="AA753" s="938"/>
      <c r="AB753" s="940"/>
      <c r="AC753" s="1683">
        <f>BI703</f>
        <v>0.56767676767676767</v>
      </c>
      <c r="AD753" s="1684"/>
      <c r="AE753" s="1684"/>
      <c r="AF753" s="1684"/>
      <c r="AG753" s="1685"/>
      <c r="AH753" s="1683">
        <f>IFERROR(BV703,"")</f>
        <v>0.53422526989025043</v>
      </c>
      <c r="AI753" s="1684"/>
      <c r="AJ753" s="168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05" customHeight="1">
      <c r="A754"/>
      <c r="B754" s="1382" t="s">
        <v>2180</v>
      </c>
      <c r="C754" s="1382"/>
      <c r="D754" s="1382"/>
      <c r="E754" s="1382"/>
      <c r="F754" s="1382"/>
      <c r="G754" s="1382"/>
      <c r="H754" s="1382"/>
      <c r="I754" s="1382"/>
      <c r="J754" s="1382"/>
      <c r="K754" s="1382"/>
      <c r="L754" s="1382"/>
      <c r="M754" s="1382"/>
      <c r="N754" s="1382"/>
      <c r="O754" s="1382"/>
      <c r="P754" s="1382"/>
      <c r="Q754" s="1382"/>
      <c r="R754" s="1382"/>
      <c r="S754" s="1382"/>
      <c r="T754" s="1382"/>
      <c r="U754" s="1382"/>
      <c r="V754" s="1382"/>
      <c r="W754" s="1382"/>
      <c r="X754" s="1382"/>
      <c r="Y754" s="1382"/>
      <c r="Z754" s="1382"/>
      <c r="AA754" s="1382"/>
      <c r="AB754" s="1382"/>
      <c r="AC754" s="1382"/>
      <c r="AD754" s="1382"/>
      <c r="AE754" s="1382"/>
      <c r="AF754" s="1382"/>
      <c r="AG754" s="1382"/>
      <c r="AH754" s="138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05" customHeight="1">
      <c r="B755" s="1382"/>
      <c r="C755" s="1382"/>
      <c r="D755" s="1382"/>
      <c r="E755" s="1382"/>
      <c r="F755" s="1382"/>
      <c r="G755" s="1382"/>
      <c r="H755" s="1382"/>
      <c r="I755" s="1382"/>
      <c r="J755" s="1382"/>
      <c r="K755" s="1382"/>
      <c r="L755" s="1382"/>
      <c r="M755" s="1382"/>
      <c r="N755" s="1382"/>
      <c r="O755" s="1382"/>
      <c r="P755" s="1382"/>
      <c r="Q755" s="1382"/>
      <c r="R755" s="1382"/>
      <c r="S755" s="1382"/>
      <c r="T755" s="1382"/>
      <c r="U755" s="1382"/>
      <c r="V755" s="1382"/>
      <c r="W755" s="1382"/>
      <c r="X755" s="1382"/>
      <c r="Y755" s="1382"/>
      <c r="Z755" s="1382"/>
      <c r="AA755" s="1382"/>
      <c r="AB755" s="1382"/>
      <c r="AC755" s="1382"/>
      <c r="AD755" s="1382"/>
      <c r="AE755" s="1382"/>
      <c r="AF755" s="1382"/>
      <c r="AG755" s="1382"/>
      <c r="AH755" s="138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05" customHeight="1">
      <c r="A756" s="3"/>
      <c r="B756" s="3"/>
      <c r="C756" s="118" t="s">
        <v>2178</v>
      </c>
      <c r="D756" s="1067"/>
      <c r="E756" s="1067"/>
      <c r="F756" s="1067"/>
      <c r="G756" s="1068"/>
      <c r="H756" s="1068"/>
      <c r="I756" s="1068"/>
      <c r="J756" s="1068"/>
      <c r="K756" s="1067"/>
      <c r="L756" s="1067"/>
      <c r="M756" s="1067"/>
      <c r="N756" s="1067"/>
      <c r="O756" s="1497">
        <f>CS634</f>
        <v>215</v>
      </c>
      <c r="P756" s="1497"/>
      <c r="Q756" s="1497"/>
      <c r="R756" s="1497"/>
      <c r="S756" s="1004"/>
      <c r="T756" s="1004"/>
      <c r="U756" s="118" t="s">
        <v>2179</v>
      </c>
      <c r="V756" s="1067"/>
      <c r="W756" s="1067"/>
      <c r="X756" s="1067"/>
      <c r="Y756" s="1068"/>
      <c r="Z756" s="1068"/>
      <c r="AA756" s="1068"/>
      <c r="AB756" s="1068"/>
      <c r="AC756" s="1067"/>
      <c r="AD756" s="1067"/>
      <c r="AE756" s="1067"/>
      <c r="AF756" s="1067"/>
      <c r="AG756" s="1687"/>
      <c r="AH756" s="1687"/>
      <c r="AI756" s="1687"/>
      <c r="AJ756" s="168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05" customHeight="1">
      <c r="B757" s="57"/>
      <c r="C757" s="1398" t="str">
        <f>IF(G753&lt;&gt;AG440,"! Total Low-Income Units in the Unit Mix Table above does not match the number of Total Low-Income Units on row #"&amp;TEXT(ROW(D440),"#"),"")</f>
        <v/>
      </c>
      <c r="D757" s="1398"/>
      <c r="E757" s="1398"/>
      <c r="F757" s="1398"/>
      <c r="G757" s="1398"/>
      <c r="H757" s="1398"/>
      <c r="I757" s="1398"/>
      <c r="J757" s="1398"/>
      <c r="K757" s="1398"/>
      <c r="L757" s="1398"/>
      <c r="M757" s="1398"/>
      <c r="N757" s="1398"/>
      <c r="O757" s="1398"/>
      <c r="P757" s="1398"/>
      <c r="Q757" s="1398"/>
      <c r="R757" s="1398"/>
      <c r="S757" s="1398"/>
      <c r="T757" s="1398"/>
      <c r="U757" s="1398"/>
      <c r="V757" s="1398"/>
      <c r="W757" s="1398"/>
      <c r="X757" s="1398"/>
      <c r="Y757" s="1398"/>
      <c r="Z757" s="1398"/>
      <c r="AA757" s="1398"/>
      <c r="AB757" s="1398"/>
      <c r="AC757" s="1398"/>
      <c r="AD757" s="1398"/>
      <c r="AE757" s="1398"/>
      <c r="AF757" s="1398"/>
      <c r="AG757" s="1398"/>
      <c r="AH757" s="1398"/>
      <c r="AI757" s="1398"/>
      <c r="AJ757" s="1398"/>
      <c r="AK757" s="1398"/>
      <c r="AL757" s="1398"/>
      <c r="AM757" s="1398"/>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05" customHeight="1">
      <c r="B758" s="57"/>
      <c r="C758" s="1398"/>
      <c r="D758" s="1398"/>
      <c r="E758" s="1398"/>
      <c r="F758" s="1398"/>
      <c r="G758" s="1398"/>
      <c r="H758" s="1398"/>
      <c r="I758" s="1398"/>
      <c r="J758" s="1398"/>
      <c r="K758" s="1398"/>
      <c r="L758" s="1398"/>
      <c r="M758" s="1398"/>
      <c r="N758" s="1398"/>
      <c r="O758" s="1398"/>
      <c r="P758" s="1398"/>
      <c r="Q758" s="1398"/>
      <c r="R758" s="1398"/>
      <c r="S758" s="1398"/>
      <c r="T758" s="1398"/>
      <c r="U758" s="1398"/>
      <c r="V758" s="1398"/>
      <c r="W758" s="1398"/>
      <c r="X758" s="1398"/>
      <c r="Y758" s="1398"/>
      <c r="Z758" s="1398"/>
      <c r="AA758" s="1398"/>
      <c r="AB758" s="1398"/>
      <c r="AC758" s="1398"/>
      <c r="AD758" s="1398"/>
      <c r="AE758" s="1398"/>
      <c r="AF758" s="1398"/>
      <c r="AG758" s="1398"/>
      <c r="AH758" s="1398"/>
      <c r="AI758" s="1398"/>
      <c r="AJ758" s="1398"/>
      <c r="AK758" s="1398"/>
      <c r="AL758" s="1398"/>
      <c r="AM758" s="1398"/>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0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380" t="s">
        <v>599</v>
      </c>
      <c r="AE759" s="1380"/>
      <c r="AF759" s="138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05" customHeight="1">
      <c r="C760" s="1070" t="s">
        <v>2399</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0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0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05" customHeight="1">
      <c r="A763" s="3"/>
      <c r="B763" s="1067"/>
      <c r="C763" s="1272" t="s">
        <v>2400</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05" customHeight="1">
      <c r="A764" s="3"/>
      <c r="B764" s="1067"/>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05" customHeight="1">
      <c r="A765" s="3"/>
      <c r="B765" s="1067"/>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05" customHeight="1">
      <c r="A766" s="3"/>
      <c r="B766" s="1067"/>
      <c r="C766" s="1272" t="s">
        <v>2401</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05" customHeight="1">
      <c r="A767" s="3"/>
      <c r="B767" s="1067"/>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05" customHeight="1">
      <c r="A768" s="3"/>
      <c r="B768" s="1067"/>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05" customHeight="1">
      <c r="J769" s="1682" t="s">
        <v>390</v>
      </c>
      <c r="K769" s="1484"/>
      <c r="L769" s="1484"/>
      <c r="M769" s="1484"/>
      <c r="N769" s="1485"/>
      <c r="O769" s="1381" t="s">
        <v>286</v>
      </c>
      <c r="P769" s="1381"/>
      <c r="Q769" s="1381"/>
      <c r="R769" s="1381"/>
      <c r="S769" s="1381"/>
      <c r="T769" s="1790" t="s">
        <v>1865</v>
      </c>
      <c r="U769" s="1791"/>
      <c r="V769" s="1791"/>
      <c r="W769" s="1792"/>
      <c r="X769" s="1682" t="s">
        <v>455</v>
      </c>
      <c r="Y769" s="1484"/>
      <c r="Z769" s="1484"/>
      <c r="AA769" s="1484"/>
      <c r="AB769" s="1485"/>
      <c r="AC769" s="1682" t="s">
        <v>287</v>
      </c>
      <c r="AD769" s="1484"/>
      <c r="AE769" s="1484"/>
      <c r="AF769" s="1484"/>
      <c r="AG769" s="148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05" customHeight="1">
      <c r="J770" s="1486"/>
      <c r="K770" s="1487"/>
      <c r="L770" s="1487"/>
      <c r="M770" s="1487"/>
      <c r="N770" s="1488"/>
      <c r="O770" s="1381"/>
      <c r="P770" s="1381"/>
      <c r="Q770" s="1381"/>
      <c r="R770" s="1381"/>
      <c r="S770" s="1381"/>
      <c r="T770" s="1793"/>
      <c r="U770" s="1794"/>
      <c r="V770" s="1794"/>
      <c r="W770" s="1795"/>
      <c r="X770" s="1486"/>
      <c r="Y770" s="1487"/>
      <c r="Z770" s="1487"/>
      <c r="AA770" s="1487"/>
      <c r="AB770" s="1488"/>
      <c r="AC770" s="1486"/>
      <c r="AD770" s="1487"/>
      <c r="AE770" s="1487"/>
      <c r="AF770" s="1487"/>
      <c r="AG770" s="148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05" customHeight="1">
      <c r="J771" s="1486"/>
      <c r="K771" s="1487"/>
      <c r="L771" s="1487"/>
      <c r="M771" s="1487"/>
      <c r="N771" s="1488"/>
      <c r="O771" s="1381"/>
      <c r="P771" s="1381"/>
      <c r="Q771" s="1381"/>
      <c r="R771" s="1381"/>
      <c r="S771" s="1381"/>
      <c r="T771" s="1793"/>
      <c r="U771" s="1794"/>
      <c r="V771" s="1794"/>
      <c r="W771" s="1795"/>
      <c r="X771" s="1486"/>
      <c r="Y771" s="1487"/>
      <c r="Z771" s="1487"/>
      <c r="AA771" s="1487"/>
      <c r="AB771" s="1488"/>
      <c r="AC771" s="1486"/>
      <c r="AD771" s="1487"/>
      <c r="AE771" s="1487"/>
      <c r="AF771" s="1487"/>
      <c r="AG771" s="148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05" customHeight="1">
      <c r="J772" s="1489"/>
      <c r="K772" s="1490"/>
      <c r="L772" s="1490"/>
      <c r="M772" s="1490"/>
      <c r="N772" s="1491"/>
      <c r="O772" s="1381"/>
      <c r="P772" s="1381"/>
      <c r="Q772" s="1381"/>
      <c r="R772" s="1381"/>
      <c r="S772" s="1381"/>
      <c r="T772" s="1796"/>
      <c r="U772" s="1797"/>
      <c r="V772" s="1797"/>
      <c r="W772" s="1798"/>
      <c r="X772" s="1489"/>
      <c r="Y772" s="1490"/>
      <c r="Z772" s="1490"/>
      <c r="AA772" s="1490"/>
      <c r="AB772" s="1491"/>
      <c r="AC772" s="1489"/>
      <c r="AD772" s="1490"/>
      <c r="AE772" s="1490"/>
      <c r="AF772" s="1490"/>
      <c r="AG772" s="149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05" customHeight="1">
      <c r="J773" s="1355" t="s">
        <v>164</v>
      </c>
      <c r="K773" s="1356"/>
      <c r="L773" s="1356"/>
      <c r="M773" s="1356"/>
      <c r="N773" s="1357"/>
      <c r="O773" s="1379">
        <v>1</v>
      </c>
      <c r="P773" s="1379"/>
      <c r="Q773" s="1379"/>
      <c r="R773" s="1379"/>
      <c r="S773" s="1379"/>
      <c r="T773" s="1367">
        <v>954</v>
      </c>
      <c r="U773" s="1368"/>
      <c r="V773" s="1368"/>
      <c r="W773" s="1369"/>
      <c r="X773" s="1361"/>
      <c r="Y773" s="1362"/>
      <c r="Z773" s="1362"/>
      <c r="AA773" s="1362"/>
      <c r="AB773" s="1363"/>
      <c r="AC773" s="1358">
        <f>X773*O773</f>
        <v>0</v>
      </c>
      <c r="AD773" s="1359"/>
      <c r="AE773" s="1359"/>
      <c r="AF773" s="1359"/>
      <c r="AG773" s="136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05" customHeight="1">
      <c r="J774" s="1355"/>
      <c r="K774" s="1356"/>
      <c r="L774" s="1356"/>
      <c r="M774" s="1356"/>
      <c r="N774" s="1357"/>
      <c r="O774" s="1379"/>
      <c r="P774" s="1379"/>
      <c r="Q774" s="1379"/>
      <c r="R774" s="1379"/>
      <c r="S774" s="1379"/>
      <c r="T774" s="1367"/>
      <c r="U774" s="1368"/>
      <c r="V774" s="1368"/>
      <c r="W774" s="1369"/>
      <c r="X774" s="1361"/>
      <c r="Y774" s="1362"/>
      <c r="Z774" s="1362"/>
      <c r="AA774" s="1362"/>
      <c r="AB774" s="1363"/>
      <c r="AC774" s="1358">
        <f>X774*O774</f>
        <v>0</v>
      </c>
      <c r="AD774" s="1359"/>
      <c r="AE774" s="1359"/>
      <c r="AF774" s="1359"/>
      <c r="AG774" s="136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05" customHeight="1">
      <c r="J775" s="1355"/>
      <c r="K775" s="1356"/>
      <c r="L775" s="1356"/>
      <c r="M775" s="1356"/>
      <c r="N775" s="1357"/>
      <c r="O775" s="1379"/>
      <c r="P775" s="1379"/>
      <c r="Q775" s="1379"/>
      <c r="R775" s="1379"/>
      <c r="S775" s="1379"/>
      <c r="T775" s="1367"/>
      <c r="U775" s="1368"/>
      <c r="V775" s="1368"/>
      <c r="W775" s="1369"/>
      <c r="X775" s="1361"/>
      <c r="Y775" s="1362"/>
      <c r="Z775" s="1362"/>
      <c r="AA775" s="1362"/>
      <c r="AB775" s="1363"/>
      <c r="AC775" s="1358">
        <f>X775*O775</f>
        <v>0</v>
      </c>
      <c r="AD775" s="1359"/>
      <c r="AE775" s="1359"/>
      <c r="AF775" s="1359"/>
      <c r="AG775" s="136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05" customHeight="1">
      <c r="J776" s="1355"/>
      <c r="K776" s="1356"/>
      <c r="L776" s="1356"/>
      <c r="M776" s="1356"/>
      <c r="N776" s="1357"/>
      <c r="O776" s="1379"/>
      <c r="P776" s="1379"/>
      <c r="Q776" s="1379"/>
      <c r="R776" s="1379"/>
      <c r="S776" s="1379"/>
      <c r="T776" s="1367"/>
      <c r="U776" s="1368"/>
      <c r="V776" s="1368"/>
      <c r="W776" s="1369"/>
      <c r="X776" s="1361"/>
      <c r="Y776" s="1362"/>
      <c r="Z776" s="1362"/>
      <c r="AA776" s="1362"/>
      <c r="AB776" s="1363"/>
      <c r="AC776" s="1358">
        <f>X776*O776</f>
        <v>0</v>
      </c>
      <c r="AD776" s="1359"/>
      <c r="AE776" s="1359"/>
      <c r="AF776" s="1359"/>
      <c r="AG776" s="136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05" customHeight="1">
      <c r="J777" s="1376" t="s">
        <v>125</v>
      </c>
      <c r="K777" s="1377"/>
      <c r="L777" s="1377"/>
      <c r="M777" s="1377"/>
      <c r="N777" s="1378"/>
      <c r="O777" s="1671">
        <f>SUM(O773:S776)</f>
        <v>1</v>
      </c>
      <c r="P777" s="1672"/>
      <c r="Q777" s="1672"/>
      <c r="R777" s="1672"/>
      <c r="S777" s="1673"/>
      <c r="X777" s="1376" t="s">
        <v>124</v>
      </c>
      <c r="Y777" s="1377"/>
      <c r="Z777" s="1377"/>
      <c r="AA777" s="1377"/>
      <c r="AB777" s="1378"/>
      <c r="AC777" s="1358">
        <f>SUM(AC773:AG776)</f>
        <v>0</v>
      </c>
      <c r="AD777" s="1359"/>
      <c r="AE777" s="1359"/>
      <c r="AF777" s="1359"/>
      <c r="AG777" s="136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0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05" customHeight="1">
      <c r="B779" s="56"/>
      <c r="C779" s="56"/>
      <c r="D779" s="56"/>
      <c r="E779" s="56"/>
      <c r="F779" s="56"/>
      <c r="G779" s="6"/>
      <c r="H779" s="6"/>
      <c r="I779" s="6"/>
      <c r="J779" s="1642" t="s">
        <v>676</v>
      </c>
      <c r="K779" s="1642"/>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05" customHeight="1">
      <c r="B780" s="56"/>
      <c r="C780" s="56"/>
      <c r="D780" s="56"/>
      <c r="E780" s="56"/>
      <c r="F780" s="56"/>
      <c r="G780" s="6"/>
      <c r="H780" s="6"/>
      <c r="I780" s="6"/>
      <c r="J780" s="6"/>
      <c r="K780" s="6"/>
      <c r="L780" s="56"/>
      <c r="M780" s="35" t="s">
        <v>2402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0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0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05" customHeight="1">
      <c r="J783" s="1682" t="s">
        <v>390</v>
      </c>
      <c r="K783" s="1484"/>
      <c r="L783" s="1484"/>
      <c r="M783" s="1484"/>
      <c r="N783" s="1485"/>
      <c r="O783" s="1381" t="s">
        <v>286</v>
      </c>
      <c r="P783" s="1381"/>
      <c r="Q783" s="1381"/>
      <c r="R783" s="1381"/>
      <c r="S783" s="1381"/>
      <c r="T783" s="1790" t="s">
        <v>1865</v>
      </c>
      <c r="U783" s="1791"/>
      <c r="V783" s="1791"/>
      <c r="W783" s="1792"/>
      <c r="X783" s="1682" t="s">
        <v>455</v>
      </c>
      <c r="Y783" s="1484"/>
      <c r="Z783" s="1484"/>
      <c r="AA783" s="1484"/>
      <c r="AB783" s="1485"/>
      <c r="AC783" s="1682" t="s">
        <v>287</v>
      </c>
      <c r="AD783" s="1484"/>
      <c r="AE783" s="1484"/>
      <c r="AF783" s="1484"/>
      <c r="AG783" s="148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05" customHeight="1">
      <c r="J784" s="1486"/>
      <c r="K784" s="1487"/>
      <c r="L784" s="1487"/>
      <c r="M784" s="1487"/>
      <c r="N784" s="1488"/>
      <c r="O784" s="1381"/>
      <c r="P784" s="1381"/>
      <c r="Q784" s="1381"/>
      <c r="R784" s="1381"/>
      <c r="S784" s="1381"/>
      <c r="T784" s="1793"/>
      <c r="U784" s="1794"/>
      <c r="V784" s="1794"/>
      <c r="W784" s="1795"/>
      <c r="X784" s="1486"/>
      <c r="Y784" s="1487"/>
      <c r="Z784" s="1487"/>
      <c r="AA784" s="1487"/>
      <c r="AB784" s="1488"/>
      <c r="AC784" s="1486"/>
      <c r="AD784" s="1487"/>
      <c r="AE784" s="1487"/>
      <c r="AF784" s="1487"/>
      <c r="AG784" s="148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05" customHeight="1">
      <c r="J785" s="1486"/>
      <c r="K785" s="1487"/>
      <c r="L785" s="1487"/>
      <c r="M785" s="1487"/>
      <c r="N785" s="1488"/>
      <c r="O785" s="1381"/>
      <c r="P785" s="1381"/>
      <c r="Q785" s="1381"/>
      <c r="R785" s="1381"/>
      <c r="S785" s="1381"/>
      <c r="T785" s="1793"/>
      <c r="U785" s="1794"/>
      <c r="V785" s="1794"/>
      <c r="W785" s="1795"/>
      <c r="X785" s="1486"/>
      <c r="Y785" s="1487"/>
      <c r="Z785" s="1487"/>
      <c r="AA785" s="1487"/>
      <c r="AB785" s="1488"/>
      <c r="AC785" s="1486"/>
      <c r="AD785" s="1487"/>
      <c r="AE785" s="1487"/>
      <c r="AF785" s="1487"/>
      <c r="AG785" s="148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05" customHeight="1">
      <c r="J786" s="1489"/>
      <c r="K786" s="1490"/>
      <c r="L786" s="1490"/>
      <c r="M786" s="1490"/>
      <c r="N786" s="1491"/>
      <c r="O786" s="1381"/>
      <c r="P786" s="1381"/>
      <c r="Q786" s="1381"/>
      <c r="R786" s="1381"/>
      <c r="S786" s="1381"/>
      <c r="T786" s="1796"/>
      <c r="U786" s="1797"/>
      <c r="V786" s="1797"/>
      <c r="W786" s="1798"/>
      <c r="X786" s="1489"/>
      <c r="Y786" s="1490"/>
      <c r="Z786" s="1490"/>
      <c r="AA786" s="1490"/>
      <c r="AB786" s="1491"/>
      <c r="AC786" s="1489"/>
      <c r="AD786" s="1490"/>
      <c r="AE786" s="1490"/>
      <c r="AF786" s="1490"/>
      <c r="AG786" s="149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05" customHeight="1">
      <c r="J787" s="1355"/>
      <c r="K787" s="1356"/>
      <c r="L787" s="1356"/>
      <c r="M787" s="1356"/>
      <c r="N787" s="1357"/>
      <c r="O787" s="1379"/>
      <c r="P787" s="1379"/>
      <c r="Q787" s="1379"/>
      <c r="R787" s="1379"/>
      <c r="S787" s="1379"/>
      <c r="T787" s="1367"/>
      <c r="U787" s="1368"/>
      <c r="V787" s="1368"/>
      <c r="W787" s="1369"/>
      <c r="X787" s="1361"/>
      <c r="Y787" s="1362"/>
      <c r="Z787" s="1362"/>
      <c r="AA787" s="1362"/>
      <c r="AB787" s="1363"/>
      <c r="AC787" s="1358">
        <f t="shared" ref="AC787:AC796" si="62">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05" customHeight="1">
      <c r="A788"/>
      <c r="B788"/>
      <c r="C788"/>
      <c r="D788"/>
      <c r="E788"/>
      <c r="F788"/>
      <c r="G788"/>
      <c r="H788"/>
      <c r="I788"/>
      <c r="J788" s="1355"/>
      <c r="K788" s="1356"/>
      <c r="L788" s="1356"/>
      <c r="M788" s="1356"/>
      <c r="N788" s="1357"/>
      <c r="O788" s="1379"/>
      <c r="P788" s="1379"/>
      <c r="Q788" s="1379"/>
      <c r="R788" s="1379"/>
      <c r="S788" s="1379"/>
      <c r="T788" s="1367"/>
      <c r="U788" s="1368"/>
      <c r="V788" s="1368"/>
      <c r="W788" s="1369"/>
      <c r="X788" s="1361"/>
      <c r="Y788" s="1362"/>
      <c r="Z788" s="1362"/>
      <c r="AA788" s="1362"/>
      <c r="AB788" s="1363"/>
      <c r="AC788" s="1358">
        <f t="shared" si="62"/>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05" customHeight="1">
      <c r="A789"/>
      <c r="B789"/>
      <c r="C789"/>
      <c r="D789"/>
      <c r="E789"/>
      <c r="F789"/>
      <c r="G789"/>
      <c r="H789"/>
      <c r="I789"/>
      <c r="J789" s="1355"/>
      <c r="K789" s="1356"/>
      <c r="L789" s="1356"/>
      <c r="M789" s="1356"/>
      <c r="N789" s="1357"/>
      <c r="O789" s="1379"/>
      <c r="P789" s="1379"/>
      <c r="Q789" s="1379"/>
      <c r="R789" s="1379"/>
      <c r="S789" s="1379"/>
      <c r="T789" s="1367"/>
      <c r="U789" s="1368"/>
      <c r="V789" s="1368"/>
      <c r="W789" s="1369"/>
      <c r="X789" s="1361"/>
      <c r="Y789" s="1362"/>
      <c r="Z789" s="1362"/>
      <c r="AA789" s="1362"/>
      <c r="AB789" s="1363"/>
      <c r="AC789" s="1358">
        <f t="shared" si="62"/>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05" customHeight="1">
      <c r="A790"/>
      <c r="B790"/>
      <c r="C790"/>
      <c r="D790"/>
      <c r="E790"/>
      <c r="F790"/>
      <c r="G790"/>
      <c r="H790"/>
      <c r="I790"/>
      <c r="J790" s="1355"/>
      <c r="K790" s="1356"/>
      <c r="L790" s="1356"/>
      <c r="M790" s="1356"/>
      <c r="N790" s="1357"/>
      <c r="O790" s="1379"/>
      <c r="P790" s="1379"/>
      <c r="Q790" s="1379"/>
      <c r="R790" s="1379"/>
      <c r="S790" s="1379"/>
      <c r="T790" s="1367"/>
      <c r="U790" s="1368"/>
      <c r="V790" s="1368"/>
      <c r="W790" s="1369"/>
      <c r="X790" s="1361"/>
      <c r="Y790" s="1362"/>
      <c r="Z790" s="1362"/>
      <c r="AA790" s="1362"/>
      <c r="AB790" s="1363"/>
      <c r="AC790" s="1358">
        <f t="shared" si="62"/>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05" customHeight="1">
      <c r="A791"/>
      <c r="B791"/>
      <c r="C791"/>
      <c r="D791"/>
      <c r="E791"/>
      <c r="F791"/>
      <c r="G791"/>
      <c r="H791"/>
      <c r="I791"/>
      <c r="J791" s="1355"/>
      <c r="K791" s="1356"/>
      <c r="L791" s="1356"/>
      <c r="M791" s="1356"/>
      <c r="N791" s="1357"/>
      <c r="O791" s="1379"/>
      <c r="P791" s="1379"/>
      <c r="Q791" s="1379"/>
      <c r="R791" s="1379"/>
      <c r="S791" s="1379"/>
      <c r="T791" s="1367"/>
      <c r="U791" s="1368"/>
      <c r="V791" s="1368"/>
      <c r="W791" s="1369"/>
      <c r="X791" s="1361"/>
      <c r="Y791" s="1362"/>
      <c r="Z791" s="1362"/>
      <c r="AA791" s="1362"/>
      <c r="AB791" s="1363"/>
      <c r="AC791" s="1358">
        <f t="shared" si="62"/>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05" customHeight="1">
      <c r="A792"/>
      <c r="B792"/>
      <c r="C792"/>
      <c r="D792"/>
      <c r="E792"/>
      <c r="F792"/>
      <c r="G792"/>
      <c r="H792"/>
      <c r="I792"/>
      <c r="J792" s="1355"/>
      <c r="K792" s="1356"/>
      <c r="L792" s="1356"/>
      <c r="M792" s="1356"/>
      <c r="N792" s="1357"/>
      <c r="O792" s="1379"/>
      <c r="P792" s="1379"/>
      <c r="Q792" s="1379"/>
      <c r="R792" s="1379"/>
      <c r="S792" s="1379"/>
      <c r="T792" s="1367"/>
      <c r="U792" s="1368"/>
      <c r="V792" s="1368"/>
      <c r="W792" s="1369"/>
      <c r="X792" s="1361"/>
      <c r="Y792" s="1362"/>
      <c r="Z792" s="1362"/>
      <c r="AA792" s="1362"/>
      <c r="AB792" s="1363"/>
      <c r="AC792" s="1358">
        <f t="shared" si="62"/>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05" customHeight="1">
      <c r="A793"/>
      <c r="B793"/>
      <c r="C793"/>
      <c r="D793"/>
      <c r="E793"/>
      <c r="F793"/>
      <c r="G793"/>
      <c r="H793"/>
      <c r="I793"/>
      <c r="J793" s="1355"/>
      <c r="K793" s="1356"/>
      <c r="L793" s="1356"/>
      <c r="M793" s="1356"/>
      <c r="N793" s="1357"/>
      <c r="O793" s="1379"/>
      <c r="P793" s="1379"/>
      <c r="Q793" s="1379"/>
      <c r="R793" s="1379"/>
      <c r="S793" s="1379"/>
      <c r="T793" s="1367"/>
      <c r="U793" s="1368"/>
      <c r="V793" s="1368"/>
      <c r="W793" s="1369"/>
      <c r="X793" s="1361"/>
      <c r="Y793" s="1362"/>
      <c r="Z793" s="1362"/>
      <c r="AA793" s="1362"/>
      <c r="AB793" s="1363"/>
      <c r="AC793" s="1358">
        <f t="shared" si="62"/>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05" customHeight="1">
      <c r="A794"/>
      <c r="B794"/>
      <c r="C794"/>
      <c r="D794"/>
      <c r="E794"/>
      <c r="F794"/>
      <c r="G794"/>
      <c r="H794"/>
      <c r="I794"/>
      <c r="J794" s="1355"/>
      <c r="K794" s="1356"/>
      <c r="L794" s="1356"/>
      <c r="M794" s="1356"/>
      <c r="N794" s="1357"/>
      <c r="O794" s="1379"/>
      <c r="P794" s="1379"/>
      <c r="Q794" s="1379"/>
      <c r="R794" s="1379"/>
      <c r="S794" s="1379"/>
      <c r="T794" s="1367"/>
      <c r="U794" s="1368"/>
      <c r="V794" s="1368"/>
      <c r="W794" s="1369"/>
      <c r="X794" s="1361"/>
      <c r="Y794" s="1362"/>
      <c r="Z794" s="1362"/>
      <c r="AA794" s="1362"/>
      <c r="AB794" s="1363"/>
      <c r="AC794" s="1358">
        <f t="shared" si="62"/>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05" customHeight="1">
      <c r="A795"/>
      <c r="B795"/>
      <c r="C795"/>
      <c r="D795"/>
      <c r="E795"/>
      <c r="F795"/>
      <c r="G795"/>
      <c r="H795"/>
      <c r="I795"/>
      <c r="J795" s="1355"/>
      <c r="K795" s="1356"/>
      <c r="L795" s="1356"/>
      <c r="M795" s="1356"/>
      <c r="N795" s="1357"/>
      <c r="O795" s="1379"/>
      <c r="P795" s="1379"/>
      <c r="Q795" s="1379"/>
      <c r="R795" s="1379"/>
      <c r="S795" s="1379"/>
      <c r="T795" s="1367"/>
      <c r="U795" s="1368"/>
      <c r="V795" s="1368"/>
      <c r="W795" s="1369"/>
      <c r="X795" s="1361"/>
      <c r="Y795" s="1362"/>
      <c r="Z795" s="1362"/>
      <c r="AA795" s="1362"/>
      <c r="AB795" s="1363"/>
      <c r="AC795" s="1358">
        <f t="shared" si="62"/>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05" customHeight="1">
      <c r="A796"/>
      <c r="B796"/>
      <c r="C796"/>
      <c r="D796"/>
      <c r="E796"/>
      <c r="F796"/>
      <c r="G796"/>
      <c r="H796"/>
      <c r="I796"/>
      <c r="J796" s="1355"/>
      <c r="K796" s="1356"/>
      <c r="L796" s="1356"/>
      <c r="M796" s="1356"/>
      <c r="N796" s="1357"/>
      <c r="O796" s="1379"/>
      <c r="P796" s="1379"/>
      <c r="Q796" s="1379"/>
      <c r="R796" s="1379"/>
      <c r="S796" s="1379"/>
      <c r="T796" s="1367"/>
      <c r="U796" s="1368"/>
      <c r="V796" s="1368"/>
      <c r="W796" s="1369"/>
      <c r="X796" s="1361"/>
      <c r="Y796" s="1362"/>
      <c r="Z796" s="1362"/>
      <c r="AA796" s="1362"/>
      <c r="AB796" s="1363"/>
      <c r="AC796" s="1358">
        <f t="shared" si="62"/>
        <v>0</v>
      </c>
      <c r="AD796" s="1359"/>
      <c r="AE796" s="1359"/>
      <c r="AF796" s="1359"/>
      <c r="AG796" s="1360"/>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679" t="s">
        <v>477</v>
      </c>
      <c r="BO796" s="1680"/>
      <c r="BP796" s="3"/>
      <c r="BQ796" s="3"/>
      <c r="BR796" s="3"/>
      <c r="BS796" s="14" t="s">
        <v>641</v>
      </c>
      <c r="BT796" s="14"/>
      <c r="BU796" s="14"/>
      <c r="BV796" s="14"/>
      <c r="BW796" s="14"/>
      <c r="BX796" s="14"/>
      <c r="BY796" s="14"/>
      <c r="BZ796" s="14"/>
      <c r="CA796" s="14"/>
      <c r="CB796" s="1676" t="str">
        <f>T189</f>
        <v>Santa Cruz</v>
      </c>
      <c r="CC796" s="1677"/>
      <c r="CD796" s="1677"/>
      <c r="CE796" s="1677"/>
      <c r="CF796" s="1677"/>
      <c r="CG796" s="1677"/>
      <c r="CH796" s="167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05" customHeight="1">
      <c r="A797"/>
      <c r="B797"/>
      <c r="C797"/>
      <c r="D797"/>
      <c r="E797"/>
      <c r="F797"/>
      <c r="G797"/>
      <c r="H797"/>
      <c r="I797"/>
      <c r="J797" s="1376" t="s">
        <v>125</v>
      </c>
      <c r="K797" s="1377"/>
      <c r="L797" s="1377"/>
      <c r="M797" s="1377"/>
      <c r="N797" s="1378"/>
      <c r="O797" s="1495">
        <f>SUM(O787:S796)</f>
        <v>0</v>
      </c>
      <c r="P797" s="1495"/>
      <c r="Q797" s="1495"/>
      <c r="R797" s="1495"/>
      <c r="S797" s="1495"/>
      <c r="T797"/>
      <c r="U797"/>
      <c r="V797"/>
      <c r="W797"/>
      <c r="X797" s="937" t="s">
        <v>124</v>
      </c>
      <c r="Y797" s="11"/>
      <c r="Z797" s="11"/>
      <c r="AA797" s="11"/>
      <c r="AB797" s="944"/>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05" customHeight="1">
      <c r="A798"/>
      <c r="B798"/>
      <c r="C798" s="1643" t="str">
        <f>IF(O797&lt;&gt;AG438,"! Total market rate units in the Unit Mix Table above does not match the number of  market rate units on row #"&amp;TEXT(ROW(D438),"#"),"")</f>
        <v/>
      </c>
      <c r="D798" s="1643"/>
      <c r="E798" s="1643"/>
      <c r="F798" s="1643"/>
      <c r="G798" s="1643"/>
      <c r="H798" s="1643"/>
      <c r="I798" s="1643"/>
      <c r="J798" s="1643"/>
      <c r="K798" s="1643"/>
      <c r="L798" s="1643"/>
      <c r="M798" s="1643"/>
      <c r="N798" s="1643"/>
      <c r="O798" s="1643"/>
      <c r="P798" s="1643"/>
      <c r="Q798" s="1643"/>
      <c r="R798" s="1643"/>
      <c r="S798" s="1643"/>
      <c r="T798" s="1643"/>
      <c r="U798" s="1643"/>
      <c r="V798" s="1643"/>
      <c r="W798" s="1643"/>
      <c r="X798" s="1643"/>
      <c r="Y798" s="1643"/>
      <c r="Z798" s="1643"/>
      <c r="AA798" s="1643"/>
      <c r="AB798" s="1643"/>
      <c r="AC798" s="1643"/>
      <c r="AD798" s="1643"/>
      <c r="AE798" s="1643"/>
      <c r="AF798" s="1643"/>
      <c r="AG798" s="1643"/>
      <c r="AH798" s="1643"/>
      <c r="AI798" s="1643"/>
      <c r="AJ798" s="1643"/>
      <c r="AK798" s="1643"/>
      <c r="AL798" s="1643"/>
      <c r="AM798" s="1643"/>
      <c r="AN798" s="164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05" customHeight="1">
      <c r="A799"/>
      <c r="B799"/>
      <c r="C799" s="1643"/>
      <c r="D799" s="1643"/>
      <c r="E799" s="1643"/>
      <c r="F799" s="1643"/>
      <c r="G799" s="1643"/>
      <c r="H799" s="1643"/>
      <c r="I799" s="1643"/>
      <c r="J799" s="1643"/>
      <c r="K799" s="1643"/>
      <c r="L799" s="1643"/>
      <c r="M799" s="1643"/>
      <c r="N799" s="1643"/>
      <c r="O799" s="1643"/>
      <c r="P799" s="1643"/>
      <c r="Q799" s="1643"/>
      <c r="R799" s="1643"/>
      <c r="S799" s="1643"/>
      <c r="T799" s="1643"/>
      <c r="U799" s="1643"/>
      <c r="V799" s="1643"/>
      <c r="W799" s="1643"/>
      <c r="X799" s="1643"/>
      <c r="Y799" s="1643"/>
      <c r="Z799" s="1643"/>
      <c r="AA799" s="1643"/>
      <c r="AB799" s="1643"/>
      <c r="AC799" s="1643"/>
      <c r="AD799" s="1643"/>
      <c r="AE799" s="1643"/>
      <c r="AF799" s="1643"/>
      <c r="AG799" s="1643"/>
      <c r="AH799" s="1643"/>
      <c r="AI799" s="1643"/>
      <c r="AJ799" s="1643"/>
      <c r="AK799" s="1643"/>
      <c r="AL799" s="1643"/>
      <c r="AM799" s="1643"/>
      <c r="AN799" s="164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2625</v>
      </c>
      <c r="BP799" s="32"/>
      <c r="BQ799" s="32"/>
      <c r="BR799" s="32"/>
      <c r="BS799" s="32"/>
      <c r="BT799" s="32"/>
      <c r="BU799" s="14"/>
      <c r="BV799" s="31" t="s">
        <v>2626</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05" customHeight="1">
      <c r="A800"/>
      <c r="B800"/>
      <c r="C800"/>
      <c r="D800"/>
      <c r="E800"/>
      <c r="F800"/>
      <c r="G800"/>
      <c r="H800"/>
      <c r="I800"/>
      <c r="J800" s="45"/>
      <c r="K800" s="5"/>
      <c r="L800" s="5"/>
      <c r="M800" s="5"/>
      <c r="N800" s="5"/>
      <c r="O800" s="5"/>
      <c r="P800" s="5"/>
      <c r="Q800" s="5"/>
      <c r="R800" s="5"/>
      <c r="S800" s="5"/>
      <c r="T800" s="5"/>
      <c r="U800" s="5"/>
      <c r="V800" s="5"/>
      <c r="W800" s="5"/>
      <c r="X800" s="54" t="s">
        <v>161</v>
      </c>
      <c r="Y800" s="1686">
        <f>O753+AC777+AC797</f>
        <v>209795</v>
      </c>
      <c r="Z800" s="1686"/>
      <c r="AA800" s="1686"/>
      <c r="AB800" s="1686"/>
      <c r="AC800" s="168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0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86">
        <f>(O753+AC777+AC797)*12</f>
        <v>2517540</v>
      </c>
      <c r="Z801" s="1686"/>
      <c r="AA801" s="1686"/>
      <c r="AB801" s="1686"/>
      <c r="AC801" s="168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0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0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0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0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468</v>
      </c>
      <c r="BU805" s="14"/>
      <c r="BV805" s="14"/>
      <c r="BW805" s="71" t="s">
        <v>640</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0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406">
        <v>40</v>
      </c>
      <c r="AA806" s="1407"/>
      <c r="AB806" s="1407"/>
      <c r="AC806" s="1407"/>
      <c r="AD806" s="1407"/>
      <c r="AE806" s="140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0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800">
        <v>15</v>
      </c>
      <c r="AA807" s="1407"/>
      <c r="AB807" s="1407"/>
      <c r="AC807" s="1407"/>
      <c r="AD807" s="1407"/>
      <c r="AE807" s="140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0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804">
        <v>51926</v>
      </c>
      <c r="AA808" s="1585"/>
      <c r="AB808" s="1585"/>
      <c r="AC808" s="1585"/>
      <c r="AD808" s="1585"/>
      <c r="AE808" s="158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0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32">
        <f>'Subsidy Contract Calculation'!J40</f>
        <v>982896</v>
      </c>
      <c r="AA809" s="1633"/>
      <c r="AB809" s="1633"/>
      <c r="AC809" s="1633"/>
      <c r="AD809" s="1633"/>
      <c r="AE809" s="163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0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0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0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0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98">
        <v>14400</v>
      </c>
      <c r="AA813" s="1499"/>
      <c r="AB813" s="1499"/>
      <c r="AC813" s="1499"/>
      <c r="AD813" s="1499"/>
      <c r="AE813" s="150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0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98"/>
      <c r="AA814" s="1499"/>
      <c r="AB814" s="1499"/>
      <c r="AC814" s="1499"/>
      <c r="AD814" s="1499"/>
      <c r="AE814" s="150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0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98"/>
      <c r="AA815" s="1499"/>
      <c r="AB815" s="1499"/>
      <c r="AC815" s="1499"/>
      <c r="AD815" s="1499"/>
      <c r="AE815" s="150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05" customHeight="1">
      <c r="A816"/>
      <c r="B816"/>
      <c r="C816"/>
      <c r="D816"/>
      <c r="E816"/>
      <c r="F816"/>
      <c r="G816"/>
      <c r="H816" s="45" t="s">
        <v>39</v>
      </c>
      <c r="I816" s="5"/>
      <c r="J816" s="5"/>
      <c r="K816" s="5"/>
      <c r="L816" s="5"/>
      <c r="M816" s="5"/>
      <c r="N816" s="5"/>
      <c r="O816" s="5"/>
      <c r="P816" s="1628" t="s">
        <v>2707</v>
      </c>
      <c r="Q816" s="1629"/>
      <c r="R816" s="1629"/>
      <c r="S816" s="1629"/>
      <c r="T816" s="1629"/>
      <c r="U816" s="1629"/>
      <c r="V816" s="1629"/>
      <c r="W816" s="1629"/>
      <c r="X816" s="1629"/>
      <c r="Y816" s="1630"/>
      <c r="Z816" s="1498">
        <v>4800</v>
      </c>
      <c r="AA816" s="1499"/>
      <c r="AB816" s="1499"/>
      <c r="AC816" s="1499"/>
      <c r="AD816" s="1499"/>
      <c r="AE816" s="150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0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32">
        <f>SUM(Z813:AE816)</f>
        <v>19200</v>
      </c>
      <c r="AA817" s="1633"/>
      <c r="AB817" s="1633"/>
      <c r="AC817" s="1633"/>
      <c r="AD817" s="1633"/>
      <c r="AE817" s="163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0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32">
        <f>Z817+Y801+Z809</f>
        <v>3519636</v>
      </c>
      <c r="AA818" s="1633"/>
      <c r="AB818" s="1633"/>
      <c r="AC818" s="1633"/>
      <c r="AD818" s="1633"/>
      <c r="AE818" s="163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0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0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0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0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05" customHeight="1">
      <c r="A823"/>
      <c r="B823"/>
      <c r="C823" s="41"/>
      <c r="D823" s="42"/>
      <c r="E823" s="42"/>
      <c r="F823" s="42"/>
      <c r="G823" s="42"/>
      <c r="H823" s="42"/>
      <c r="I823" s="42"/>
      <c r="J823" s="42"/>
      <c r="K823" s="42"/>
      <c r="L823" s="58"/>
      <c r="M823" s="1759" t="s">
        <v>126</v>
      </c>
      <c r="N823" s="1759"/>
      <c r="O823" s="1759"/>
      <c r="P823" s="1789"/>
      <c r="Q823" s="1405" t="s">
        <v>291</v>
      </c>
      <c r="R823" s="1405"/>
      <c r="S823" s="1405"/>
      <c r="T823" s="1405"/>
      <c r="U823" s="1405" t="s">
        <v>292</v>
      </c>
      <c r="V823" s="1405"/>
      <c r="W823" s="1405"/>
      <c r="X823" s="1405"/>
      <c r="Y823" s="1405" t="s">
        <v>293</v>
      </c>
      <c r="Z823" s="1405"/>
      <c r="AA823" s="1405"/>
      <c r="AB823" s="1405"/>
      <c r="AC823" s="1405" t="s">
        <v>362</v>
      </c>
      <c r="AD823" s="1405"/>
      <c r="AE823" s="1405"/>
      <c r="AF823" s="1405"/>
      <c r="AG823" s="1799" t="s">
        <v>336</v>
      </c>
      <c r="AH823" s="1799"/>
      <c r="AI823" s="1799"/>
      <c r="AJ823" s="179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05" customHeight="1">
      <c r="A824"/>
      <c r="B824"/>
      <c r="C824" s="47"/>
      <c r="D824" s="48"/>
      <c r="E824" s="48"/>
      <c r="F824" s="48"/>
      <c r="G824" s="48"/>
      <c r="H824" s="48"/>
      <c r="I824" s="48"/>
      <c r="J824" s="48"/>
      <c r="K824" s="48"/>
      <c r="L824" s="49"/>
      <c r="M824" s="1591"/>
      <c r="N824" s="1591"/>
      <c r="O824" s="1591"/>
      <c r="P824" s="1592"/>
      <c r="Q824" s="1405"/>
      <c r="R824" s="1405"/>
      <c r="S824" s="1405"/>
      <c r="T824" s="1405"/>
      <c r="U824" s="1405"/>
      <c r="V824" s="1405"/>
      <c r="W824" s="1405"/>
      <c r="X824" s="1405"/>
      <c r="Y824" s="1405"/>
      <c r="Z824" s="1405"/>
      <c r="AA824" s="1405"/>
      <c r="AB824" s="1405"/>
      <c r="AC824" s="1405"/>
      <c r="AD824" s="1405"/>
      <c r="AE824" s="1405"/>
      <c r="AF824" s="1405"/>
      <c r="AG824" s="1799"/>
      <c r="AH824" s="1799"/>
      <c r="AI824" s="1799"/>
      <c r="AJ824" s="1799"/>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05" customHeight="1">
      <c r="A825"/>
      <c r="B825"/>
      <c r="C825" s="1754" t="s">
        <v>40</v>
      </c>
      <c r="D825" s="1417"/>
      <c r="E825" s="1417"/>
      <c r="F825" s="1417"/>
      <c r="G825" s="1417"/>
      <c r="H825" s="1417"/>
      <c r="I825" s="48"/>
      <c r="J825" s="48"/>
      <c r="K825" s="48"/>
      <c r="L825" s="49"/>
      <c r="M825" s="1636"/>
      <c r="N825" s="1636"/>
      <c r="O825" s="1636"/>
      <c r="P825" s="1636"/>
      <c r="Q825" s="1636">
        <v>34</v>
      </c>
      <c r="R825" s="1636"/>
      <c r="S825" s="1636"/>
      <c r="T825" s="1636"/>
      <c r="U825" s="1636">
        <v>43</v>
      </c>
      <c r="V825" s="1636"/>
      <c r="W825" s="1636"/>
      <c r="X825" s="1636"/>
      <c r="Y825" s="1636">
        <v>52</v>
      </c>
      <c r="Z825" s="1636"/>
      <c r="AA825" s="1636"/>
      <c r="AB825" s="1636"/>
      <c r="AC825" s="1422"/>
      <c r="AD825" s="1423"/>
      <c r="AE825" s="1423"/>
      <c r="AF825" s="1424"/>
      <c r="AG825" s="1422"/>
      <c r="AH825" s="1423"/>
      <c r="AI825" s="1423"/>
      <c r="AJ825" s="1424"/>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05" customHeight="1">
      <c r="A826"/>
      <c r="B826"/>
      <c r="C826" s="1801" t="s">
        <v>41</v>
      </c>
      <c r="D826" s="1802"/>
      <c r="E826" s="1802"/>
      <c r="F826" s="1802"/>
      <c r="G826" s="1802"/>
      <c r="H826" s="1802"/>
      <c r="I826" s="5"/>
      <c r="J826" s="5"/>
      <c r="K826" s="5"/>
      <c r="L826" s="46"/>
      <c r="M826" s="1636"/>
      <c r="N826" s="1636"/>
      <c r="O826" s="1636"/>
      <c r="P826" s="1636"/>
      <c r="Q826" s="1636"/>
      <c r="R826" s="1636"/>
      <c r="S826" s="1636"/>
      <c r="T826" s="1636"/>
      <c r="U826" s="1636"/>
      <c r="V826" s="1636"/>
      <c r="W826" s="1636"/>
      <c r="X826" s="1636"/>
      <c r="Y826" s="1636"/>
      <c r="Z826" s="1636"/>
      <c r="AA826" s="1636"/>
      <c r="AB826" s="1636"/>
      <c r="AC826" s="1422"/>
      <c r="AD826" s="1423"/>
      <c r="AE826" s="1423"/>
      <c r="AF826" s="1424"/>
      <c r="AG826" s="1422"/>
      <c r="AH826" s="1423"/>
      <c r="AI826" s="1423"/>
      <c r="AJ826" s="1424"/>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05" customHeight="1">
      <c r="A827"/>
      <c r="B827"/>
      <c r="C827" s="1801" t="s">
        <v>42</v>
      </c>
      <c r="D827" s="1802"/>
      <c r="E827" s="1802"/>
      <c r="F827" s="1802"/>
      <c r="G827" s="1802"/>
      <c r="H827" s="1802"/>
      <c r="I827" s="60"/>
      <c r="J827" s="60"/>
      <c r="K827" s="60"/>
      <c r="L827" s="61"/>
      <c r="M827" s="1636"/>
      <c r="N827" s="1636"/>
      <c r="O827" s="1636"/>
      <c r="P827" s="1636"/>
      <c r="Q827" s="1636">
        <v>15</v>
      </c>
      <c r="R827" s="1636"/>
      <c r="S827" s="1636"/>
      <c r="T827" s="1636"/>
      <c r="U827" s="1636">
        <v>21</v>
      </c>
      <c r="V827" s="1636"/>
      <c r="W827" s="1636"/>
      <c r="X827" s="1636"/>
      <c r="Y827" s="1636">
        <v>28</v>
      </c>
      <c r="Z827" s="1636"/>
      <c r="AA827" s="1636"/>
      <c r="AB827" s="1636"/>
      <c r="AC827" s="1422"/>
      <c r="AD827" s="1423"/>
      <c r="AE827" s="1423"/>
      <c r="AF827" s="1424"/>
      <c r="AG827" s="1422"/>
      <c r="AH827" s="1423"/>
      <c r="AI827" s="1423"/>
      <c r="AJ827" s="1424"/>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05" customHeight="1">
      <c r="A828"/>
      <c r="B828"/>
      <c r="C828" s="1801" t="s">
        <v>770</v>
      </c>
      <c r="D828" s="1802"/>
      <c r="E828" s="1802"/>
      <c r="F828" s="1802"/>
      <c r="G828" s="1802"/>
      <c r="H828" s="1802"/>
      <c r="I828" s="60"/>
      <c r="J828" s="60"/>
      <c r="K828" s="60"/>
      <c r="L828" s="61"/>
      <c r="M828" s="1636"/>
      <c r="N828" s="1636"/>
      <c r="O828" s="1636"/>
      <c r="P828" s="1636"/>
      <c r="Q828" s="1636"/>
      <c r="R828" s="1636"/>
      <c r="S828" s="1636"/>
      <c r="T828" s="1636"/>
      <c r="U828" s="1636"/>
      <c r="V828" s="1636"/>
      <c r="W828" s="1636"/>
      <c r="X828" s="1636"/>
      <c r="Y828" s="1636"/>
      <c r="Z828" s="1636"/>
      <c r="AA828" s="1636"/>
      <c r="AB828" s="1636"/>
      <c r="AC828" s="1422"/>
      <c r="AD828" s="1423"/>
      <c r="AE828" s="1423"/>
      <c r="AF828" s="1424"/>
      <c r="AG828" s="1422"/>
      <c r="AH828" s="1423"/>
      <c r="AI828" s="1423"/>
      <c r="AJ828" s="1424"/>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05" customHeight="1">
      <c r="A829"/>
      <c r="B829"/>
      <c r="C829" s="1801" t="s">
        <v>467</v>
      </c>
      <c r="D829" s="1802"/>
      <c r="E829" s="1802"/>
      <c r="F829" s="1802"/>
      <c r="G829" s="1802"/>
      <c r="H829" s="1802"/>
      <c r="I829" s="60"/>
      <c r="J829" s="60"/>
      <c r="K829" s="60"/>
      <c r="L829" s="61"/>
      <c r="M829" s="1636"/>
      <c r="N829" s="1636"/>
      <c r="O829" s="1636"/>
      <c r="P829" s="1636"/>
      <c r="Q829" s="1636"/>
      <c r="R829" s="1636"/>
      <c r="S829" s="1636"/>
      <c r="T829" s="1636"/>
      <c r="U829" s="1636"/>
      <c r="V829" s="1636"/>
      <c r="W829" s="1636"/>
      <c r="X829" s="1636"/>
      <c r="Y829" s="1636"/>
      <c r="Z829" s="1636"/>
      <c r="AA829" s="1636"/>
      <c r="AB829" s="1636"/>
      <c r="AC829" s="1422"/>
      <c r="AD829" s="1423"/>
      <c r="AE829" s="1423"/>
      <c r="AF829" s="1424"/>
      <c r="AG829" s="1422"/>
      <c r="AH829" s="1423"/>
      <c r="AI829" s="1423"/>
      <c r="AJ829" s="1424"/>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05" customHeight="1">
      <c r="A830"/>
      <c r="B830"/>
      <c r="C830" s="1803" t="s">
        <v>791</v>
      </c>
      <c r="D830" s="1802"/>
      <c r="E830" s="1802"/>
      <c r="F830" s="1802"/>
      <c r="G830" s="1802"/>
      <c r="H830" s="1802"/>
      <c r="I830" s="60"/>
      <c r="J830" s="60"/>
      <c r="K830" s="60"/>
      <c r="L830" s="61"/>
      <c r="M830" s="1636"/>
      <c r="N830" s="1636"/>
      <c r="O830" s="1636"/>
      <c r="P830" s="1636"/>
      <c r="Q830" s="1636"/>
      <c r="R830" s="1636"/>
      <c r="S830" s="1636"/>
      <c r="T830" s="1636"/>
      <c r="U830" s="1636"/>
      <c r="V830" s="1636"/>
      <c r="W830" s="1636"/>
      <c r="X830" s="1636"/>
      <c r="Y830" s="1636"/>
      <c r="Z830" s="1636"/>
      <c r="AA830" s="1636"/>
      <c r="AB830" s="1636"/>
      <c r="AC830" s="1422"/>
      <c r="AD830" s="1423"/>
      <c r="AE830" s="1423"/>
      <c r="AF830" s="1424"/>
      <c r="AG830" s="1422"/>
      <c r="AH830" s="1423"/>
      <c r="AI830" s="1423"/>
      <c r="AJ830" s="1424"/>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05" customHeight="1">
      <c r="A831"/>
      <c r="B831"/>
      <c r="C831" s="59" t="s">
        <v>294</v>
      </c>
      <c r="D831" s="60"/>
      <c r="E831" s="60"/>
      <c r="F831" s="1628" t="s">
        <v>2741</v>
      </c>
      <c r="G831" s="1629"/>
      <c r="H831" s="1629"/>
      <c r="I831" s="1629"/>
      <c r="J831" s="1629"/>
      <c r="K831" s="1629"/>
      <c r="L831" s="1629"/>
      <c r="M831" s="1636"/>
      <c r="N831" s="1636"/>
      <c r="O831" s="1636"/>
      <c r="P831" s="1636"/>
      <c r="Q831" s="1636">
        <v>51</v>
      </c>
      <c r="R831" s="1636"/>
      <c r="S831" s="1636"/>
      <c r="T831" s="1636"/>
      <c r="U831" s="1636">
        <v>73</v>
      </c>
      <c r="V831" s="1636"/>
      <c r="W831" s="1636"/>
      <c r="X831" s="1636"/>
      <c r="Y831" s="1636">
        <v>97</v>
      </c>
      <c r="Z831" s="1636"/>
      <c r="AA831" s="1636"/>
      <c r="AB831" s="1636"/>
      <c r="AC831" s="1422"/>
      <c r="AD831" s="1423"/>
      <c r="AE831" s="1423"/>
      <c r="AF831" s="1424"/>
      <c r="AG831" s="1422"/>
      <c r="AH831" s="1423"/>
      <c r="AI831" s="1423"/>
      <c r="AJ831" s="1424"/>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05" customHeight="1">
      <c r="A832"/>
      <c r="B832"/>
      <c r="C832" s="1376" t="s">
        <v>124</v>
      </c>
      <c r="D832" s="1377"/>
      <c r="E832" s="1377"/>
      <c r="F832" s="1377"/>
      <c r="G832" s="1377"/>
      <c r="H832" s="1377"/>
      <c r="I832" s="1377"/>
      <c r="J832" s="1377"/>
      <c r="K832" s="1377"/>
      <c r="L832" s="1378"/>
      <c r="M832" s="1653">
        <f>SUM(M825:P831)</f>
        <v>0</v>
      </c>
      <c r="N832" s="1653"/>
      <c r="O832" s="1653"/>
      <c r="P832" s="1653"/>
      <c r="Q832" s="1653">
        <f>SUM(Q825:T831)</f>
        <v>100</v>
      </c>
      <c r="R832" s="1653"/>
      <c r="S832" s="1653"/>
      <c r="T832" s="1653"/>
      <c r="U832" s="1653">
        <f>SUM(U825:X831)</f>
        <v>137</v>
      </c>
      <c r="V832" s="1653"/>
      <c r="W832" s="1653"/>
      <c r="X832" s="1653"/>
      <c r="Y832" s="1653">
        <f>SUM(Y825:AB831)</f>
        <v>177</v>
      </c>
      <c r="Z832" s="1653"/>
      <c r="AA832" s="1653"/>
      <c r="AB832" s="1653"/>
      <c r="AC832" s="1653">
        <f>SUM(AC825:AF831)</f>
        <v>0</v>
      </c>
      <c r="AD832" s="1653"/>
      <c r="AE832" s="1653"/>
      <c r="AF832" s="1653"/>
      <c r="AG832" s="1653">
        <f>SUM(AG825:AJ831)</f>
        <v>0</v>
      </c>
      <c r="AH832" s="1653"/>
      <c r="AI832" s="1653"/>
      <c r="AJ832" s="1653"/>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0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0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0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0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05" customHeight="1">
      <c r="A837"/>
      <c r="B837"/>
      <c r="C837" s="1688" t="s">
        <v>2794</v>
      </c>
      <c r="D837" s="1689"/>
      <c r="E837" s="1689"/>
      <c r="F837" s="1689"/>
      <c r="G837" s="1689"/>
      <c r="H837" s="1689"/>
      <c r="I837" s="1689"/>
      <c r="J837" s="1689"/>
      <c r="K837" s="1689"/>
      <c r="L837" s="1689"/>
      <c r="M837" s="1689"/>
      <c r="N837" s="1689"/>
      <c r="O837" s="1689"/>
      <c r="P837" s="1689"/>
      <c r="Q837" s="1689"/>
      <c r="R837" s="1689"/>
      <c r="S837" s="1689"/>
      <c r="T837" s="1689"/>
      <c r="U837" s="1689"/>
      <c r="V837" s="1689"/>
      <c r="W837" s="1689"/>
      <c r="X837" s="1689"/>
      <c r="Y837" s="1689"/>
      <c r="Z837" s="1689"/>
      <c r="AA837" s="1689"/>
      <c r="AB837" s="1689"/>
      <c r="AC837" s="1689"/>
      <c r="AD837" s="1689"/>
      <c r="AE837" s="1689"/>
      <c r="AF837" s="1689"/>
      <c r="AG837" s="1689"/>
      <c r="AH837" s="1689"/>
      <c r="AI837" s="1689"/>
      <c r="AJ837" s="169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0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0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05" customHeight="1">
      <c r="A840" s="2" t="s">
        <v>475</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1">
        <f>ROUNDDOWN(BC939*2,2)</f>
        <v>0</v>
      </c>
      <c r="BJ841" s="1681"/>
      <c r="BK841" s="1681"/>
      <c r="BL841" s="1681"/>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05" customHeight="1">
      <c r="A842"/>
      <c r="B842"/>
      <c r="C842" s="2" t="s">
        <v>344</v>
      </c>
      <c r="D842"/>
      <c r="E842"/>
      <c r="F842"/>
      <c r="G842"/>
      <c r="H842"/>
      <c r="I842"/>
      <c r="J842" s="45" t="s">
        <v>357</v>
      </c>
      <c r="K842" s="5"/>
      <c r="L842" s="5"/>
      <c r="M842" s="5"/>
      <c r="N842" s="5"/>
      <c r="O842" s="5"/>
      <c r="P842" s="5"/>
      <c r="Q842" s="5"/>
      <c r="R842" s="5"/>
      <c r="S842" s="5"/>
      <c r="T842" s="5"/>
      <c r="U842" s="5"/>
      <c r="V842" s="46"/>
      <c r="W842" s="1644">
        <v>10000</v>
      </c>
      <c r="X842" s="1645"/>
      <c r="Y842" s="1645"/>
      <c r="Z842" s="1645"/>
      <c r="AA842" s="1645"/>
      <c r="AB842" s="1645"/>
      <c r="AC842" s="1646"/>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05" customHeight="1">
      <c r="A843"/>
      <c r="B843"/>
      <c r="C843"/>
      <c r="D843"/>
      <c r="E843"/>
      <c r="F843"/>
      <c r="G843"/>
      <c r="H843"/>
      <c r="I843"/>
      <c r="J843" s="45" t="s">
        <v>356</v>
      </c>
      <c r="K843" s="5"/>
      <c r="L843" s="5"/>
      <c r="M843" s="5"/>
      <c r="N843" s="5"/>
      <c r="O843" s="5"/>
      <c r="P843" s="5"/>
      <c r="Q843" s="5"/>
      <c r="R843" s="5"/>
      <c r="S843" s="5"/>
      <c r="T843" s="5"/>
      <c r="U843" s="5"/>
      <c r="V843" s="46"/>
      <c r="W843" s="1644">
        <v>45000</v>
      </c>
      <c r="X843" s="1645"/>
      <c r="Y843" s="1645"/>
      <c r="Z843" s="1645"/>
      <c r="AA843" s="1645"/>
      <c r="AB843" s="1645"/>
      <c r="AC843" s="1646"/>
      <c r="AD843"/>
      <c r="AE843"/>
      <c r="AF843"/>
      <c r="AG843"/>
      <c r="AH843"/>
      <c r="AI843"/>
      <c r="AJ843"/>
      <c r="AK843"/>
      <c r="AL843"/>
      <c r="AM843"/>
      <c r="AN843"/>
      <c r="AO843"/>
      <c r="AP843"/>
      <c r="AQ843"/>
      <c r="AR843"/>
      <c r="AS843"/>
      <c r="AT843"/>
      <c r="AU843"/>
      <c r="AV843"/>
      <c r="AW843"/>
      <c r="AX843"/>
      <c r="AY843"/>
      <c r="AZ843" s="30">
        <f>IF(AJ1028&gt;1,0.025,0)</f>
        <v>0</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05" customHeight="1">
      <c r="J844" s="45" t="s">
        <v>355</v>
      </c>
      <c r="K844" s="5"/>
      <c r="L844" s="5"/>
      <c r="M844" s="5"/>
      <c r="N844" s="5"/>
      <c r="O844" s="5"/>
      <c r="P844" s="5"/>
      <c r="Q844" s="5"/>
      <c r="R844" s="5"/>
      <c r="S844" s="5"/>
      <c r="T844" s="5"/>
      <c r="U844" s="5"/>
      <c r="V844" s="46"/>
      <c r="W844" s="1644">
        <v>10000</v>
      </c>
      <c r="X844" s="1645"/>
      <c r="Y844" s="1645"/>
      <c r="Z844" s="1645"/>
      <c r="AA844" s="1645"/>
      <c r="AB844" s="1645"/>
      <c r="AC844" s="164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05" customHeight="1">
      <c r="J845" s="45" t="s">
        <v>354</v>
      </c>
      <c r="K845" s="5"/>
      <c r="L845" s="5"/>
      <c r="M845" s="5"/>
      <c r="N845" s="5"/>
      <c r="O845" s="5"/>
      <c r="P845" s="5"/>
      <c r="Q845" s="5"/>
      <c r="R845" s="5"/>
      <c r="S845" s="5"/>
      <c r="T845" s="5"/>
      <c r="U845" s="5"/>
      <c r="V845" s="46"/>
      <c r="W845" s="1637">
        <v>0</v>
      </c>
      <c r="X845" s="1638"/>
      <c r="Y845" s="1638"/>
      <c r="Z845" s="1638"/>
      <c r="AA845" s="1638"/>
      <c r="AB845" s="1638"/>
      <c r="AC845" s="163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05" customHeight="1">
      <c r="J846" s="45" t="s">
        <v>170</v>
      </c>
      <c r="K846" s="5"/>
      <c r="L846" s="5"/>
      <c r="M846" s="1628" t="s">
        <v>2791</v>
      </c>
      <c r="N846" s="1629"/>
      <c r="O846" s="1629"/>
      <c r="P846" s="1629"/>
      <c r="Q846" s="1629"/>
      <c r="R846" s="1629"/>
      <c r="S846" s="1629"/>
      <c r="T846" s="1629"/>
      <c r="U846" s="1629"/>
      <c r="V846" s="1630"/>
      <c r="W846" s="1501">
        <v>30000</v>
      </c>
      <c r="X846" s="1501"/>
      <c r="Y846" s="1501"/>
      <c r="Z846" s="1501"/>
      <c r="AA846" s="1501"/>
      <c r="AB846" s="1501"/>
      <c r="AC846" s="1501"/>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05" customHeight="1">
      <c r="J847" s="45"/>
      <c r="K847" s="5"/>
      <c r="L847" s="5"/>
      <c r="M847" s="5"/>
      <c r="N847" s="5"/>
      <c r="O847" s="5"/>
      <c r="P847" s="5"/>
      <c r="Q847" s="5"/>
      <c r="R847" s="5"/>
      <c r="S847" s="5"/>
      <c r="T847" s="5"/>
      <c r="U847" s="5"/>
      <c r="V847" s="54" t="s">
        <v>343</v>
      </c>
      <c r="W847" s="1632">
        <f>SUM(W842:AC846)</f>
        <v>95000</v>
      </c>
      <c r="X847" s="1633"/>
      <c r="Y847" s="1633"/>
      <c r="Z847" s="1633"/>
      <c r="AA847" s="1633"/>
      <c r="AB847" s="1633"/>
      <c r="AC847" s="1634"/>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05" customHeight="1">
      <c r="AZ848" s="30"/>
      <c r="BA848" s="30"/>
      <c r="BB848" s="14"/>
      <c r="BC848" s="14"/>
      <c r="BD848" s="14"/>
      <c r="BE848" s="14"/>
      <c r="BF848" s="14"/>
      <c r="BG848" s="1674"/>
      <c r="BH848" s="1674"/>
      <c r="BI848" s="1674"/>
      <c r="BJ848" s="1674"/>
      <c r="BK848" s="1674"/>
      <c r="BL848" s="1674"/>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05" customHeight="1">
      <c r="C849" s="2" t="s">
        <v>345</v>
      </c>
      <c r="J849" s="1376" t="s">
        <v>346</v>
      </c>
      <c r="K849" s="1377"/>
      <c r="L849" s="1377"/>
      <c r="M849" s="1377"/>
      <c r="N849" s="1377"/>
      <c r="O849" s="1377"/>
      <c r="P849" s="1377"/>
      <c r="Q849" s="1377"/>
      <c r="R849" s="1377"/>
      <c r="S849" s="1377"/>
      <c r="T849" s="1377"/>
      <c r="U849" s="1377"/>
      <c r="V849" s="1378"/>
      <c r="W849" s="1644">
        <v>90000</v>
      </c>
      <c r="X849" s="1645"/>
      <c r="Y849" s="1645"/>
      <c r="Z849" s="1645"/>
      <c r="AA849" s="1645"/>
      <c r="AB849" s="1645"/>
      <c r="AC849" s="1646"/>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0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05" customHeight="1">
      <c r="C851" s="2" t="s">
        <v>569</v>
      </c>
      <c r="J851" s="45" t="s">
        <v>353</v>
      </c>
      <c r="K851" s="5"/>
      <c r="L851" s="5"/>
      <c r="M851" s="5"/>
      <c r="N851" s="5"/>
      <c r="O851" s="5"/>
      <c r="P851" s="5"/>
      <c r="Q851" s="5"/>
      <c r="R851" s="5"/>
      <c r="S851" s="5"/>
      <c r="T851" s="5"/>
      <c r="U851" s="5"/>
      <c r="V851" s="46"/>
      <c r="W851" s="1779"/>
      <c r="X851" s="1779"/>
      <c r="Y851" s="1779"/>
      <c r="Z851" s="1779"/>
      <c r="AA851" s="1779"/>
      <c r="AB851" s="1779"/>
      <c r="AC851" s="1779"/>
      <c r="AZ851" s="1785">
        <f>SUM(AZ818:AZ846)</f>
        <v>0</v>
      </c>
      <c r="BA851" s="1785"/>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05" customHeight="1">
      <c r="J852" s="45" t="s">
        <v>352</v>
      </c>
      <c r="K852" s="5"/>
      <c r="L852" s="5"/>
      <c r="M852" s="5"/>
      <c r="N852" s="5"/>
      <c r="O852" s="5"/>
      <c r="P852" s="5"/>
      <c r="Q852" s="5"/>
      <c r="R852" s="5"/>
      <c r="S852" s="5"/>
      <c r="T852" s="5"/>
      <c r="U852" s="5"/>
      <c r="V852" s="46"/>
      <c r="W852" s="1779"/>
      <c r="X852" s="1779"/>
      <c r="Y852" s="1779"/>
      <c r="Z852" s="1779"/>
      <c r="AA852" s="1779"/>
      <c r="AB852" s="1779"/>
      <c r="AC852" s="1779"/>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05" customHeight="1">
      <c r="J853" s="45" t="s">
        <v>467</v>
      </c>
      <c r="K853" s="5"/>
      <c r="L853" s="5"/>
      <c r="M853" s="5"/>
      <c r="N853" s="5"/>
      <c r="O853" s="5"/>
      <c r="P853" s="5"/>
      <c r="Q853" s="5"/>
      <c r="R853" s="5"/>
      <c r="S853" s="5"/>
      <c r="T853" s="5"/>
      <c r="U853" s="5"/>
      <c r="V853" s="46"/>
      <c r="W853" s="1782">
        <v>35000</v>
      </c>
      <c r="X853" s="1783"/>
      <c r="Y853" s="1783"/>
      <c r="Z853" s="1783"/>
      <c r="AA853" s="1783"/>
      <c r="AB853" s="1783"/>
      <c r="AC853" s="1784"/>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05" customHeight="1">
      <c r="J854" s="62" t="s">
        <v>628</v>
      </c>
      <c r="K854" s="5"/>
      <c r="L854" s="5"/>
      <c r="M854" s="5"/>
      <c r="N854" s="5"/>
      <c r="O854" s="5"/>
      <c r="P854" s="5"/>
      <c r="Q854" s="5"/>
      <c r="R854" s="5"/>
      <c r="S854" s="5"/>
      <c r="T854" s="5"/>
      <c r="U854" s="5"/>
      <c r="V854" s="46"/>
      <c r="W854" s="1654">
        <v>32500</v>
      </c>
      <c r="X854" s="1655"/>
      <c r="Y854" s="1655"/>
      <c r="Z854" s="1655"/>
      <c r="AA854" s="1655"/>
      <c r="AB854" s="1655"/>
      <c r="AC854" s="165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05" customHeight="1">
      <c r="J855" s="63"/>
      <c r="K855" s="48"/>
      <c r="L855" s="48"/>
      <c r="M855" s="48"/>
      <c r="N855" s="48"/>
      <c r="O855" s="48"/>
      <c r="P855" s="48"/>
      <c r="Q855" s="48"/>
      <c r="R855" s="48"/>
      <c r="S855" s="48"/>
      <c r="T855" s="48"/>
      <c r="U855" s="48"/>
      <c r="V855" s="54" t="s">
        <v>273</v>
      </c>
      <c r="W855" s="1657">
        <f>SUM(W851:AC854)</f>
        <v>67500</v>
      </c>
      <c r="X855" s="1657"/>
      <c r="Y855" s="1657"/>
      <c r="Z855" s="1657"/>
      <c r="AA855" s="1657"/>
      <c r="AB855" s="1657"/>
      <c r="AC855" s="165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0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05" customHeight="1">
      <c r="C857" s="2" t="s">
        <v>347</v>
      </c>
      <c r="J857" s="45" t="s">
        <v>627</v>
      </c>
      <c r="K857" s="5"/>
      <c r="L857" s="5"/>
      <c r="M857" s="5"/>
      <c r="N857" s="5"/>
      <c r="O857" s="5"/>
      <c r="P857" s="5"/>
      <c r="Q857" s="5"/>
      <c r="R857" s="5"/>
      <c r="S857" s="5"/>
      <c r="T857" s="5"/>
      <c r="U857" s="5"/>
      <c r="V857" s="46"/>
      <c r="W857" s="1654">
        <v>82500</v>
      </c>
      <c r="X857" s="1655"/>
      <c r="Y857" s="1655"/>
      <c r="Z857" s="1655"/>
      <c r="AA857" s="1655"/>
      <c r="AB857" s="1655"/>
      <c r="AC857" s="165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05" customHeight="1">
      <c r="C858" s="2" t="s">
        <v>348</v>
      </c>
      <c r="J858" s="121" t="s">
        <v>1765</v>
      </c>
      <c r="K858" s="5"/>
      <c r="L858" s="5"/>
      <c r="M858" s="5"/>
      <c r="N858" s="5"/>
      <c r="O858" s="5"/>
      <c r="P858" s="5"/>
      <c r="Q858" s="5"/>
      <c r="R858" s="5"/>
      <c r="S858" s="5"/>
      <c r="T858" s="1774">
        <v>2</v>
      </c>
      <c r="U858" s="1741"/>
      <c r="V858" s="1775"/>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05" customHeight="1">
      <c r="C859" s="2"/>
      <c r="J859" s="45" t="s">
        <v>626</v>
      </c>
      <c r="K859" s="5"/>
      <c r="L859" s="5"/>
      <c r="M859" s="5"/>
      <c r="N859" s="5"/>
      <c r="O859" s="5"/>
      <c r="P859" s="5"/>
      <c r="Q859" s="5"/>
      <c r="R859" s="5"/>
      <c r="S859" s="5"/>
      <c r="T859" s="5"/>
      <c r="U859" s="5"/>
      <c r="V859" s="46"/>
      <c r="W859" s="1786">
        <v>74000</v>
      </c>
      <c r="X859" s="1787"/>
      <c r="Y859" s="1787"/>
      <c r="Z859" s="1787"/>
      <c r="AA859" s="1787"/>
      <c r="AB859" s="1787"/>
      <c r="AC859" s="178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05" customHeight="1">
      <c r="C860" s="2"/>
      <c r="J860" s="121" t="s">
        <v>1766</v>
      </c>
      <c r="K860" s="5"/>
      <c r="L860" s="5"/>
      <c r="M860" s="5"/>
      <c r="N860" s="5"/>
      <c r="O860" s="5"/>
      <c r="P860" s="5"/>
      <c r="Q860" s="5"/>
      <c r="R860" s="5"/>
      <c r="S860" s="5"/>
      <c r="T860" s="1774"/>
      <c r="U860" s="1741"/>
      <c r="V860" s="1775"/>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05" customHeight="1">
      <c r="J861" s="45" t="s">
        <v>170</v>
      </c>
      <c r="K861" s="5"/>
      <c r="L861" s="5"/>
      <c r="M861" s="1771" t="s">
        <v>2760</v>
      </c>
      <c r="N861" s="1772"/>
      <c r="O861" s="1772"/>
      <c r="P861" s="1772"/>
      <c r="Q861" s="1772"/>
      <c r="R861" s="1772"/>
      <c r="S861" s="1772"/>
      <c r="T861" s="1772"/>
      <c r="U861" s="1772"/>
      <c r="V861" s="1773"/>
      <c r="W861" s="1647">
        <v>75000</v>
      </c>
      <c r="X861" s="1648"/>
      <c r="Y861" s="1648"/>
      <c r="Z861" s="1648"/>
      <c r="AA861" s="1648"/>
      <c r="AB861" s="1648"/>
      <c r="AC861" s="164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05" customHeight="1">
      <c r="J862" s="45"/>
      <c r="K862" s="5"/>
      <c r="L862" s="5"/>
      <c r="M862" s="5"/>
      <c r="N862" s="5"/>
      <c r="O862" s="5"/>
      <c r="P862" s="5"/>
      <c r="Q862" s="5"/>
      <c r="R862" s="5"/>
      <c r="S862" s="5"/>
      <c r="T862" s="5"/>
      <c r="U862" s="5"/>
      <c r="V862" s="54" t="s">
        <v>274</v>
      </c>
      <c r="W862" s="1776">
        <f>SUM(W857:AC861)</f>
        <v>231500</v>
      </c>
      <c r="X862" s="1777"/>
      <c r="Y862" s="1777"/>
      <c r="Z862" s="1777"/>
      <c r="AA862" s="1777"/>
      <c r="AB862" s="1777"/>
      <c r="AC862" s="1778"/>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05" customHeight="1">
      <c r="J863" s="45"/>
      <c r="K863" s="5"/>
      <c r="L863" s="5"/>
      <c r="M863" s="5"/>
      <c r="N863" s="5"/>
      <c r="O863" s="5"/>
      <c r="P863" s="5"/>
      <c r="Q863" s="5"/>
      <c r="R863" s="5"/>
      <c r="S863" s="5"/>
      <c r="T863" s="5"/>
      <c r="U863" s="5"/>
      <c r="V863" s="54" t="s">
        <v>275</v>
      </c>
      <c r="W863" s="1647">
        <v>87500</v>
      </c>
      <c r="X863" s="1648"/>
      <c r="Y863" s="1648"/>
      <c r="Z863" s="1648"/>
      <c r="AA863" s="1648"/>
      <c r="AB863" s="1648"/>
      <c r="AC863" s="164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0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05" customHeight="1">
      <c r="C865" s="2" t="s">
        <v>391</v>
      </c>
      <c r="J865" s="45" t="s">
        <v>625</v>
      </c>
      <c r="K865" s="5"/>
      <c r="L865" s="5"/>
      <c r="M865" s="5"/>
      <c r="N865" s="5"/>
      <c r="O865" s="5"/>
      <c r="P865" s="5"/>
      <c r="Q865" s="5"/>
      <c r="R865" s="5"/>
      <c r="S865" s="5"/>
      <c r="T865" s="5"/>
      <c r="U865" s="5"/>
      <c r="V865" s="46"/>
      <c r="W865" s="1644">
        <v>15000</v>
      </c>
      <c r="X865" s="1645"/>
      <c r="Y865" s="1645"/>
      <c r="Z865" s="1645"/>
      <c r="AA865" s="1645"/>
      <c r="AB865" s="1645"/>
      <c r="AC865" s="164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05" customHeight="1">
      <c r="J866" s="45" t="s">
        <v>530</v>
      </c>
      <c r="K866" s="5"/>
      <c r="L866" s="5"/>
      <c r="M866" s="5"/>
      <c r="N866" s="5"/>
      <c r="O866" s="5"/>
      <c r="P866" s="5"/>
      <c r="Q866" s="5"/>
      <c r="R866" s="5"/>
      <c r="S866" s="5"/>
      <c r="T866" s="5"/>
      <c r="U866" s="5"/>
      <c r="V866" s="46"/>
      <c r="W866" s="1644">
        <v>13000</v>
      </c>
      <c r="X866" s="1645"/>
      <c r="Y866" s="1645"/>
      <c r="Z866" s="1645"/>
      <c r="AA866" s="1645"/>
      <c r="AB866" s="1645"/>
      <c r="AC866" s="164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05" customHeight="1">
      <c r="J867" s="45" t="s">
        <v>529</v>
      </c>
      <c r="K867" s="5"/>
      <c r="L867" s="5"/>
      <c r="M867" s="5"/>
      <c r="N867" s="5"/>
      <c r="O867" s="5"/>
      <c r="P867" s="5"/>
      <c r="Q867" s="5"/>
      <c r="R867" s="5"/>
      <c r="S867" s="5"/>
      <c r="T867" s="5"/>
      <c r="U867" s="5"/>
      <c r="V867" s="46"/>
      <c r="W867" s="1644">
        <v>13000</v>
      </c>
      <c r="X867" s="1645"/>
      <c r="Y867" s="1645"/>
      <c r="Z867" s="1645"/>
      <c r="AA867" s="1645"/>
      <c r="AB867" s="1645"/>
      <c r="AC867" s="164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05" customHeight="1">
      <c r="J868" s="45" t="s">
        <v>528</v>
      </c>
      <c r="K868" s="5"/>
      <c r="L868" s="5"/>
      <c r="M868" s="5"/>
      <c r="N868" s="5"/>
      <c r="O868" s="5"/>
      <c r="P868" s="5"/>
      <c r="Q868" s="5"/>
      <c r="R868" s="5"/>
      <c r="S868" s="5"/>
      <c r="T868" s="5"/>
      <c r="U868" s="5"/>
      <c r="V868" s="46"/>
      <c r="W868" s="1644">
        <v>7500</v>
      </c>
      <c r="X868" s="1645"/>
      <c r="Y868" s="1645"/>
      <c r="Z868" s="1645"/>
      <c r="AA868" s="1645"/>
      <c r="AB868" s="1645"/>
      <c r="AC868" s="164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05" customHeight="1">
      <c r="J869" s="45" t="s">
        <v>527</v>
      </c>
      <c r="K869" s="5"/>
      <c r="L869" s="5"/>
      <c r="M869" s="5"/>
      <c r="N869" s="5"/>
      <c r="O869" s="5"/>
      <c r="P869" s="5"/>
      <c r="Q869" s="5"/>
      <c r="R869" s="5"/>
      <c r="S869" s="5"/>
      <c r="T869" s="5"/>
      <c r="U869" s="5"/>
      <c r="V869" s="46"/>
      <c r="W869" s="1644">
        <v>15000</v>
      </c>
      <c r="X869" s="1645"/>
      <c r="Y869" s="1645"/>
      <c r="Z869" s="1645"/>
      <c r="AA869" s="1645"/>
      <c r="AB869" s="1645"/>
      <c r="AC869" s="164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05" customHeight="1">
      <c r="J870" s="45" t="s">
        <v>526</v>
      </c>
      <c r="K870" s="5"/>
      <c r="L870" s="5"/>
      <c r="M870" s="5"/>
      <c r="N870" s="5"/>
      <c r="O870" s="5"/>
      <c r="P870" s="5"/>
      <c r="Q870" s="5"/>
      <c r="R870" s="5"/>
      <c r="S870" s="5"/>
      <c r="T870" s="5"/>
      <c r="U870" s="5"/>
      <c r="V870" s="46"/>
      <c r="W870" s="1644"/>
      <c r="X870" s="1645"/>
      <c r="Y870" s="1645"/>
      <c r="Z870" s="1645"/>
      <c r="AA870" s="1645"/>
      <c r="AB870" s="1645"/>
      <c r="AC870" s="164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05" customHeight="1">
      <c r="J871" s="45" t="s">
        <v>170</v>
      </c>
      <c r="K871" s="5"/>
      <c r="L871" s="5"/>
      <c r="M871" s="1628"/>
      <c r="N871" s="1629"/>
      <c r="O871" s="1629"/>
      <c r="P871" s="1629"/>
      <c r="Q871" s="1629"/>
      <c r="R871" s="1629"/>
      <c r="S871" s="1629"/>
      <c r="T871" s="1629"/>
      <c r="U871" s="1629"/>
      <c r="V871" s="1630"/>
      <c r="W871" s="1637"/>
      <c r="X871" s="1638"/>
      <c r="Y871" s="1638"/>
      <c r="Z871" s="1638"/>
      <c r="AA871" s="1638"/>
      <c r="AB871" s="1638"/>
      <c r="AC871" s="163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05" customHeight="1">
      <c r="J872" s="45"/>
      <c r="K872" s="5"/>
      <c r="L872" s="5"/>
      <c r="M872" s="5"/>
      <c r="N872" s="5"/>
      <c r="O872" s="5"/>
      <c r="P872" s="5"/>
      <c r="Q872" s="5"/>
      <c r="R872" s="5"/>
      <c r="S872" s="5"/>
      <c r="T872" s="5"/>
      <c r="U872" s="5"/>
      <c r="V872" s="54" t="s">
        <v>276</v>
      </c>
      <c r="W872" s="1686">
        <f>SUM(W865:AC871)</f>
        <v>63500</v>
      </c>
      <c r="X872" s="1686"/>
      <c r="Y872" s="1686"/>
      <c r="Z872" s="1686"/>
      <c r="AA872" s="1686"/>
      <c r="AB872" s="1686"/>
      <c r="AC872" s="168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0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05" customHeight="1">
      <c r="C874" s="2" t="s">
        <v>1349</v>
      </c>
      <c r="J874" s="45" t="s">
        <v>170</v>
      </c>
      <c r="K874" s="5"/>
      <c r="L874" s="5"/>
      <c r="M874" s="1663"/>
      <c r="N874" s="1664"/>
      <c r="O874" s="1664"/>
      <c r="P874" s="1664"/>
      <c r="Q874" s="1664"/>
      <c r="R874" s="1664"/>
      <c r="S874" s="1664"/>
      <c r="T874" s="1664"/>
      <c r="U874" s="1664"/>
      <c r="V874" s="1665"/>
      <c r="W874" s="1644"/>
      <c r="X874" s="1645"/>
      <c r="Y874" s="1645"/>
      <c r="Z874" s="1645"/>
      <c r="AA874" s="1645"/>
      <c r="AB874" s="1645"/>
      <c r="AC874" s="164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05" customHeight="1">
      <c r="C875" s="2" t="s">
        <v>1350</v>
      </c>
      <c r="J875" s="45" t="s">
        <v>170</v>
      </c>
      <c r="K875" s="5"/>
      <c r="L875" s="5"/>
      <c r="M875" s="1663"/>
      <c r="N875" s="1664"/>
      <c r="O875" s="1664"/>
      <c r="P875" s="1664"/>
      <c r="Q875" s="1664"/>
      <c r="R875" s="1664"/>
      <c r="S875" s="1664"/>
      <c r="T875" s="1664"/>
      <c r="U875" s="1664"/>
      <c r="V875" s="1665"/>
      <c r="W875" s="1644"/>
      <c r="X875" s="1645"/>
      <c r="Y875" s="1645"/>
      <c r="Z875" s="1645"/>
      <c r="AA875" s="1645"/>
      <c r="AB875" s="1645"/>
      <c r="AC875" s="164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05" customHeight="1">
      <c r="J876" s="45" t="s">
        <v>170</v>
      </c>
      <c r="K876" s="5"/>
      <c r="L876" s="5"/>
      <c r="M876" s="1663"/>
      <c r="N876" s="1664"/>
      <c r="O876" s="1664"/>
      <c r="P876" s="1664"/>
      <c r="Q876" s="1664"/>
      <c r="R876" s="1664"/>
      <c r="S876" s="1664"/>
      <c r="T876" s="1664"/>
      <c r="U876" s="1664"/>
      <c r="V876" s="1665"/>
      <c r="W876" s="1644"/>
      <c r="X876" s="1645"/>
      <c r="Y876" s="1645"/>
      <c r="Z876" s="1645"/>
      <c r="AA876" s="1645"/>
      <c r="AB876" s="1645"/>
      <c r="AC876" s="164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05" customHeight="1">
      <c r="J877" s="45" t="s">
        <v>170</v>
      </c>
      <c r="K877" s="5"/>
      <c r="L877" s="5"/>
      <c r="M877" s="1663"/>
      <c r="N877" s="1664"/>
      <c r="O877" s="1664"/>
      <c r="P877" s="1664"/>
      <c r="Q877" s="1664"/>
      <c r="R877" s="1664"/>
      <c r="S877" s="1664"/>
      <c r="T877" s="1664"/>
      <c r="U877" s="1664"/>
      <c r="V877" s="1665"/>
      <c r="W877" s="1644"/>
      <c r="X877" s="1645"/>
      <c r="Y877" s="1645"/>
      <c r="Z877" s="1645"/>
      <c r="AA877" s="1645"/>
      <c r="AB877" s="1645"/>
      <c r="AC877" s="164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05" customHeight="1">
      <c r="J878" s="45" t="s">
        <v>170</v>
      </c>
      <c r="K878" s="5"/>
      <c r="L878" s="5"/>
      <c r="M878" s="1660"/>
      <c r="N878" s="1661"/>
      <c r="O878" s="1661"/>
      <c r="P878" s="1661"/>
      <c r="Q878" s="1661"/>
      <c r="R878" s="1661"/>
      <c r="S878" s="1661"/>
      <c r="T878" s="1661"/>
      <c r="U878" s="1661"/>
      <c r="V878" s="1662"/>
      <c r="W878" s="1637"/>
      <c r="X878" s="1638"/>
      <c r="Y878" s="1638"/>
      <c r="Z878" s="1638"/>
      <c r="AA878" s="1638"/>
      <c r="AB878" s="1638"/>
      <c r="AC878" s="163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05" customHeight="1">
      <c r="J879" s="45"/>
      <c r="K879" s="5"/>
      <c r="L879" s="5"/>
      <c r="M879" s="5"/>
      <c r="N879" s="5"/>
      <c r="O879" s="5"/>
      <c r="P879" s="5"/>
      <c r="Q879" s="5"/>
      <c r="R879" s="5"/>
      <c r="S879" s="5"/>
      <c r="T879" s="5"/>
      <c r="U879" s="5"/>
      <c r="V879" s="54" t="s">
        <v>277</v>
      </c>
      <c r="W879" s="1632">
        <f>SUM(W874:AC878)</f>
        <v>0</v>
      </c>
      <c r="X879" s="1633"/>
      <c r="Y879" s="1633"/>
      <c r="Z879" s="1633"/>
      <c r="AA879" s="1633"/>
      <c r="AB879" s="1633"/>
      <c r="AC879" s="163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0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0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0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0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33">
        <f>W847+W855+W862+W863+W872+W879+W849</f>
        <v>635000</v>
      </c>
      <c r="AD883" s="1633"/>
      <c r="AE883" s="1633"/>
      <c r="AF883" s="1633"/>
      <c r="AG883" s="1633"/>
      <c r="AH883" s="163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0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80">
        <f>O797+O777+G753</f>
        <v>100</v>
      </c>
      <c r="AD884" s="1780"/>
      <c r="AE884" s="1780"/>
      <c r="AF884" s="1780"/>
      <c r="AG884" s="1780"/>
      <c r="AH884" s="178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05" customHeight="1">
      <c r="C885" s="41"/>
      <c r="D885" s="42"/>
      <c r="E885" s="1669" t="s">
        <v>32</v>
      </c>
      <c r="F885" s="1669"/>
      <c r="G885" s="1669"/>
      <c r="H885" s="1669"/>
      <c r="I885" s="1669"/>
      <c r="J885" s="1669"/>
      <c r="K885" s="1669"/>
      <c r="L885" s="1669"/>
      <c r="M885" s="1669"/>
      <c r="N885" s="1669"/>
      <c r="O885" s="1669"/>
      <c r="P885" s="1669"/>
      <c r="Q885" s="1669"/>
      <c r="R885" s="1669"/>
      <c r="S885" s="1669"/>
      <c r="T885" s="1669"/>
      <c r="U885" s="1669"/>
      <c r="V885" s="1669"/>
      <c r="W885" s="1669"/>
      <c r="X885" s="1669"/>
      <c r="Y885" s="1669"/>
      <c r="Z885" s="1669"/>
      <c r="AA885" s="1669"/>
      <c r="AB885" s="1670"/>
      <c r="AC885" s="1686">
        <f>IF(ISERROR((ROUNDDOWN(AC883/AC884,0))),0,(ROUNDDOWN(AC883/AC884,0)))</f>
        <v>6350</v>
      </c>
      <c r="AD885" s="1686"/>
      <c r="AE885" s="1686"/>
      <c r="AF885" s="1686"/>
      <c r="AG885" s="1686"/>
      <c r="AH885" s="168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0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658">
        <v>779349</v>
      </c>
      <c r="AD886" s="1659"/>
      <c r="AE886" s="1659"/>
      <c r="AF886" s="1659"/>
      <c r="AG886" s="1659"/>
      <c r="AH886" s="165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0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00"/>
      <c r="AD887" s="1501"/>
      <c r="AE887" s="1501"/>
      <c r="AF887" s="1501"/>
      <c r="AG887" s="1501"/>
      <c r="AH887" s="150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0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499">
        <v>18000</v>
      </c>
      <c r="AD888" s="1499"/>
      <c r="AE888" s="1499"/>
      <c r="AF888" s="1499"/>
      <c r="AG888" s="1499"/>
      <c r="AH888" s="1500"/>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0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99">
        <v>25000</v>
      </c>
      <c r="AD889" s="1499"/>
      <c r="AE889" s="1499"/>
      <c r="AF889" s="1499"/>
      <c r="AG889" s="1499"/>
      <c r="AH889" s="1500"/>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0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422">
        <v>17417</v>
      </c>
      <c r="AD890" s="1423"/>
      <c r="AE890" s="1423"/>
      <c r="AF890" s="1423"/>
      <c r="AG890" s="1423"/>
      <c r="AH890" s="142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0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99"/>
      <c r="AD891" s="1499"/>
      <c r="AE891" s="1499"/>
      <c r="AF891" s="1499"/>
      <c r="AG891" s="1499"/>
      <c r="AH891" s="1500"/>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0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499"/>
      <c r="AD892" s="1499"/>
      <c r="AE892" s="1499"/>
      <c r="AF892" s="1499"/>
      <c r="AG892" s="1499"/>
      <c r="AH892" s="1500"/>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05" customHeight="1">
      <c r="C893" s="1650" t="s">
        <v>974</v>
      </c>
      <c r="D893" s="1651"/>
      <c r="E893" s="1651"/>
      <c r="F893" s="1651"/>
      <c r="G893" s="1651"/>
      <c r="H893" s="1651"/>
      <c r="I893" s="1651"/>
      <c r="J893" s="1651"/>
      <c r="K893" s="1651"/>
      <c r="L893" s="1651"/>
      <c r="M893" s="1651"/>
      <c r="N893" s="1651"/>
      <c r="O893" s="1651"/>
      <c r="P893" s="1651"/>
      <c r="Q893" s="1651"/>
      <c r="R893" s="1651"/>
      <c r="S893" s="1651"/>
      <c r="T893" s="1651"/>
      <c r="U893" s="1651"/>
      <c r="V893" s="1651"/>
      <c r="W893" s="1651"/>
      <c r="X893" s="1651"/>
      <c r="Y893" s="1651"/>
      <c r="Z893" s="1651"/>
      <c r="AA893" s="1651"/>
      <c r="AB893" s="1652"/>
      <c r="AC893" s="1501"/>
      <c r="AD893" s="1501"/>
      <c r="AE893" s="1501"/>
      <c r="AF893" s="1501"/>
      <c r="AG893" s="1501"/>
      <c r="AH893" s="150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05" customHeight="1">
      <c r="C894" s="1650" t="s">
        <v>974</v>
      </c>
      <c r="D894" s="1651"/>
      <c r="E894" s="1651"/>
      <c r="F894" s="1651"/>
      <c r="G894" s="1651"/>
      <c r="H894" s="1651"/>
      <c r="I894" s="1651"/>
      <c r="J894" s="1651"/>
      <c r="K894" s="1651"/>
      <c r="L894" s="1651"/>
      <c r="M894" s="1651"/>
      <c r="N894" s="1651"/>
      <c r="O894" s="1651"/>
      <c r="P894" s="1651"/>
      <c r="Q894" s="1651"/>
      <c r="R894" s="1651"/>
      <c r="S894" s="1651"/>
      <c r="T894" s="1651"/>
      <c r="U894" s="1651"/>
      <c r="V894" s="1651"/>
      <c r="W894" s="1651"/>
      <c r="X894" s="1651"/>
      <c r="Y894" s="1651"/>
      <c r="Z894" s="1651"/>
      <c r="AA894" s="1651"/>
      <c r="AB894" s="1652"/>
      <c r="AC894" s="1501"/>
      <c r="AD894" s="1501"/>
      <c r="AE894" s="1501"/>
      <c r="AF894" s="1501"/>
      <c r="AG894" s="1501"/>
      <c r="AH894" s="150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0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0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0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05" customHeight="1">
      <c r="B898" s="2"/>
      <c r="H898" s="121" t="s">
        <v>239</v>
      </c>
      <c r="I898" s="5"/>
      <c r="J898" s="5"/>
      <c r="K898" s="5"/>
      <c r="L898" s="5"/>
      <c r="M898" s="5"/>
      <c r="N898" s="5"/>
      <c r="O898" s="5"/>
      <c r="P898" s="5"/>
      <c r="Q898" s="5"/>
      <c r="R898" s="5"/>
      <c r="S898" s="5"/>
      <c r="T898" s="5"/>
      <c r="U898" s="5"/>
      <c r="V898" s="5"/>
      <c r="W898" s="5"/>
      <c r="X898" s="5"/>
      <c r="Y898" s="46"/>
      <c r="Z898" s="1498"/>
      <c r="AA898" s="1499"/>
      <c r="AB898" s="1499"/>
      <c r="AC898" s="1499"/>
      <c r="AD898" s="1499"/>
      <c r="AE898" s="1500"/>
      <c r="AF898" s="567"/>
      <c r="AZ898" s="34"/>
      <c r="BB898" s="30"/>
      <c r="BC898" s="850"/>
      <c r="BD898" s="1675"/>
      <c r="BE898" s="167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05" customHeight="1">
      <c r="H899" s="121" t="s">
        <v>240</v>
      </c>
      <c r="I899" s="5"/>
      <c r="J899" s="5"/>
      <c r="K899" s="5"/>
      <c r="L899" s="5"/>
      <c r="M899" s="5"/>
      <c r="N899" s="5"/>
      <c r="O899" s="5"/>
      <c r="P899" s="5"/>
      <c r="Q899" s="5"/>
      <c r="R899" s="5"/>
      <c r="S899" s="5"/>
      <c r="T899" s="5"/>
      <c r="U899" s="5"/>
      <c r="V899" s="5"/>
      <c r="W899" s="5"/>
      <c r="X899" s="5"/>
      <c r="Y899" s="5"/>
      <c r="Z899" s="1498"/>
      <c r="AA899" s="1499"/>
      <c r="AB899" s="1499"/>
      <c r="AC899" s="1499"/>
      <c r="AD899" s="1499"/>
      <c r="AE899" s="1500"/>
      <c r="AZ899" s="34"/>
      <c r="BB899" s="30"/>
      <c r="BC899" s="850"/>
      <c r="BD899" s="1675"/>
      <c r="BE899" s="167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05" customHeight="1">
      <c r="H900" s="121" t="s">
        <v>241</v>
      </c>
      <c r="I900" s="5"/>
      <c r="J900" s="5"/>
      <c r="K900" s="5"/>
      <c r="L900" s="5"/>
      <c r="M900" s="5"/>
      <c r="N900" s="5"/>
      <c r="O900" s="5"/>
      <c r="P900" s="5"/>
      <c r="Q900" s="5"/>
      <c r="R900" s="5"/>
      <c r="S900" s="5"/>
      <c r="T900" s="5"/>
      <c r="U900" s="5"/>
      <c r="V900" s="5"/>
      <c r="W900" s="5"/>
      <c r="X900" s="5"/>
      <c r="Y900" s="5"/>
      <c r="Z900" s="1498"/>
      <c r="AA900" s="1499"/>
      <c r="AB900" s="1499"/>
      <c r="AC900" s="1499"/>
      <c r="AD900" s="1499"/>
      <c r="AE900" s="1500"/>
      <c r="AZ900" s="34"/>
      <c r="BB900" s="30"/>
      <c r="BC900" s="850"/>
      <c r="BD900" s="1674"/>
      <c r="BE900" s="167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05" customHeight="1">
      <c r="H901" s="45"/>
      <c r="I901" s="5"/>
      <c r="J901" s="5"/>
      <c r="K901" s="5"/>
      <c r="L901" s="5"/>
      <c r="M901" s="5"/>
      <c r="N901" s="5"/>
      <c r="O901" s="5"/>
      <c r="P901" s="5"/>
      <c r="Q901" s="5"/>
      <c r="R901" s="5"/>
      <c r="S901" s="5"/>
      <c r="T901" s="5"/>
      <c r="U901" s="5"/>
      <c r="V901" s="5"/>
      <c r="W901" s="5"/>
      <c r="X901" s="5"/>
      <c r="Y901" s="190" t="s">
        <v>242</v>
      </c>
      <c r="Z901" s="1632">
        <f>Z898-(Z899+Z900)</f>
        <v>0</v>
      </c>
      <c r="AA901" s="1633"/>
      <c r="AB901" s="1633"/>
      <c r="AC901" s="1633"/>
      <c r="AD901" s="1633"/>
      <c r="AE901" s="1634"/>
      <c r="AZ901" s="34"/>
      <c r="BB901" s="30"/>
      <c r="BC901" s="850"/>
      <c r="BD901" s="1674"/>
      <c r="BE901" s="167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0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4"/>
      <c r="BE902" s="167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0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5"/>
      <c r="BE903" s="167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0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70"/>
      <c r="BE904" s="1770"/>
      <c r="BF904" s="177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0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1"/>
      <c r="BE905" s="1681"/>
      <c r="BF905" s="1681"/>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0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4"/>
      <c r="BE906" s="167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0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5"/>
      <c r="BE907" s="167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0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05" customHeight="1">
      <c r="A909" s="1434" t="s">
        <v>96</v>
      </c>
      <c r="B909" s="1434"/>
      <c r="C909" s="1434"/>
      <c r="D909" s="1434"/>
      <c r="E909" s="1434"/>
      <c r="F909" s="1434"/>
      <c r="G909" s="1434"/>
      <c r="H909" s="1434"/>
      <c r="I909" s="1434"/>
      <c r="J909" s="1434"/>
      <c r="K909" s="1434"/>
      <c r="L909" s="1434"/>
      <c r="M909" s="1434"/>
      <c r="N909" s="1434"/>
      <c r="O909" s="1434"/>
      <c r="P909" s="1434"/>
      <c r="Q909" s="1434"/>
      <c r="R909" s="1434"/>
      <c r="S909" s="1434"/>
      <c r="T909" s="1434"/>
      <c r="U909" s="1434"/>
      <c r="V909" s="1434"/>
      <c r="W909" s="1434"/>
      <c r="X909" s="1434"/>
      <c r="Y909" s="1434"/>
      <c r="Z909" s="1434"/>
      <c r="AA909" s="1434"/>
      <c r="AB909" s="1434"/>
      <c r="AC909" s="1434"/>
      <c r="AD909" s="1434"/>
      <c r="AE909" s="1434"/>
      <c r="AF909" s="1434"/>
      <c r="AG909" s="1434"/>
      <c r="AH909" s="1434"/>
      <c r="AI909" s="1434"/>
      <c r="AJ909" s="1434"/>
      <c r="AK909" s="1434"/>
      <c r="AL909" s="1434"/>
      <c r="AM909" s="1434"/>
      <c r="AN909" s="1434"/>
      <c r="AO909" s="1434"/>
      <c r="AP909" s="1434"/>
      <c r="AQ909" s="1434"/>
      <c r="AR909" s="1434"/>
      <c r="AS909" s="1434"/>
      <c r="AT909" s="1434"/>
      <c r="AZ909" s="34"/>
      <c r="BA909" s="34"/>
      <c r="BB909" s="30"/>
      <c r="BC909" s="30"/>
      <c r="BD909" s="1675"/>
      <c r="BE909" s="167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05" customHeight="1">
      <c r="A910" s="1434"/>
      <c r="B910" s="1434"/>
      <c r="C910" s="1434"/>
      <c r="D910" s="1434"/>
      <c r="E910" s="1434"/>
      <c r="F910" s="1434"/>
      <c r="G910" s="1434"/>
      <c r="H910" s="1434"/>
      <c r="I910" s="1434"/>
      <c r="J910" s="1434"/>
      <c r="K910" s="1434"/>
      <c r="L910" s="1434"/>
      <c r="M910" s="1434"/>
      <c r="N910" s="1434"/>
      <c r="O910" s="1434"/>
      <c r="P910" s="1434"/>
      <c r="Q910" s="1434"/>
      <c r="R910" s="1434"/>
      <c r="S910" s="1434"/>
      <c r="T910" s="1434"/>
      <c r="U910" s="1434"/>
      <c r="V910" s="1434"/>
      <c r="W910" s="1434"/>
      <c r="X910" s="1434"/>
      <c r="Y910" s="1434"/>
      <c r="Z910" s="1434"/>
      <c r="AA910" s="1434"/>
      <c r="AB910" s="1434"/>
      <c r="AC910" s="1434"/>
      <c r="AD910" s="1434"/>
      <c r="AE910" s="1434"/>
      <c r="AF910" s="1434"/>
      <c r="AG910" s="1434"/>
      <c r="AH910" s="1434"/>
      <c r="AI910" s="1434"/>
      <c r="AJ910" s="1434"/>
      <c r="AK910" s="1434"/>
      <c r="AL910" s="1434"/>
      <c r="AM910" s="1434"/>
      <c r="AN910" s="1434"/>
      <c r="AO910" s="1434"/>
      <c r="AP910" s="1434"/>
      <c r="AQ910" s="1434"/>
      <c r="AR910" s="1434"/>
      <c r="AS910" s="1434"/>
      <c r="AT910" s="143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0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0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0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05" customHeight="1">
      <c r="F914" s="1538" t="s">
        <v>800</v>
      </c>
      <c r="G914" s="1539"/>
      <c r="H914" s="1539"/>
      <c r="I914" s="1539"/>
      <c r="J914" s="1539"/>
      <c r="K914" s="1539"/>
      <c r="L914" s="1539"/>
      <c r="M914" s="1539"/>
      <c r="N914" s="1539"/>
      <c r="O914" s="1539"/>
      <c r="P914" s="1539"/>
      <c r="Q914" s="1539"/>
      <c r="R914" s="1539"/>
      <c r="S914" s="1539"/>
      <c r="T914" s="1540"/>
      <c r="U914" s="1758" t="s">
        <v>31</v>
      </c>
      <c r="V914" s="1759"/>
      <c r="W914" s="1759"/>
      <c r="X914" s="1759"/>
      <c r="Y914" s="1759"/>
      <c r="Z914" s="1759"/>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05" customHeight="1">
      <c r="B915" s="2"/>
      <c r="F915" s="1587" t="s">
        <v>826</v>
      </c>
      <c r="G915" s="1588"/>
      <c r="H915" s="1588"/>
      <c r="I915" s="1588"/>
      <c r="J915" s="1588"/>
      <c r="K915" s="1588"/>
      <c r="L915" s="1588"/>
      <c r="M915" s="1588"/>
      <c r="N915" s="1588"/>
      <c r="O915" s="1588"/>
      <c r="P915" s="1588"/>
      <c r="Q915" s="1588"/>
      <c r="R915" s="1588"/>
      <c r="S915" s="1588"/>
      <c r="T915" s="1589"/>
      <c r="U915" s="1587"/>
      <c r="V915" s="1588"/>
      <c r="W915" s="1588"/>
      <c r="X915" s="1588"/>
      <c r="Y915" s="1588"/>
      <c r="Z915" s="158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05" customHeight="1">
      <c r="B916" s="2"/>
      <c r="F916" s="1590"/>
      <c r="G916" s="1591"/>
      <c r="H916" s="1591"/>
      <c r="I916" s="1591"/>
      <c r="J916" s="1591"/>
      <c r="K916" s="1591"/>
      <c r="L916" s="1591"/>
      <c r="M916" s="1591"/>
      <c r="N916" s="1591"/>
      <c r="O916" s="1591"/>
      <c r="P916" s="1591"/>
      <c r="Q916" s="1591"/>
      <c r="R916" s="1591"/>
      <c r="S916" s="1591"/>
      <c r="T916" s="1592"/>
      <c r="U916" s="1590"/>
      <c r="V916" s="1591"/>
      <c r="W916" s="1591"/>
      <c r="X916" s="1591"/>
      <c r="Y916" s="1591"/>
      <c r="Z916" s="1591"/>
      <c r="AA916" s="108"/>
      <c r="AB916" s="1716" t="s">
        <v>392</v>
      </c>
      <c r="AC916" s="1716"/>
      <c r="AD916" s="1716"/>
      <c r="AE916" s="171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05" customHeight="1">
      <c r="B917" s="2"/>
      <c r="F917" s="45" t="s">
        <v>766</v>
      </c>
      <c r="G917" s="48"/>
      <c r="H917" s="48"/>
      <c r="I917" s="48"/>
      <c r="J917" s="48"/>
      <c r="K917" s="48"/>
      <c r="L917" s="48"/>
      <c r="M917" s="48"/>
      <c r="N917" s="48"/>
      <c r="O917" s="48"/>
      <c r="P917" s="48"/>
      <c r="Q917" s="48"/>
      <c r="R917" s="48"/>
      <c r="S917" s="48"/>
      <c r="T917" s="49"/>
      <c r="U917" s="1559" t="s">
        <v>553</v>
      </c>
      <c r="V917" s="1560"/>
      <c r="W917" s="1560"/>
      <c r="X917" s="1560"/>
      <c r="Y917" s="1560"/>
      <c r="Z917" s="1561"/>
      <c r="AA917" s="1544">
        <f>AM554</f>
        <v>41923146</v>
      </c>
      <c r="AB917" s="1545"/>
      <c r="AC917" s="1545"/>
      <c r="AD917" s="1545"/>
      <c r="AE917" s="1545"/>
      <c r="AF917" s="154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05" customHeight="1">
      <c r="B918" s="2"/>
      <c r="F918" s="66" t="s">
        <v>682</v>
      </c>
      <c r="G918" s="48"/>
      <c r="H918" s="48"/>
      <c r="I918" s="48"/>
      <c r="J918" s="48"/>
      <c r="K918" s="48"/>
      <c r="L918" s="48"/>
      <c r="M918" s="48"/>
      <c r="N918" s="48"/>
      <c r="O918" s="48"/>
      <c r="P918" s="48"/>
      <c r="Q918" s="48"/>
      <c r="R918" s="48"/>
      <c r="S918" s="48"/>
      <c r="T918" s="49"/>
      <c r="U918" s="1559" t="s">
        <v>553</v>
      </c>
      <c r="V918" s="1560"/>
      <c r="W918" s="1560"/>
      <c r="X918" s="1560"/>
      <c r="Y918" s="1560"/>
      <c r="Z918" s="1561"/>
      <c r="AA918" s="1544">
        <f>AM555</f>
        <v>23786118</v>
      </c>
      <c r="AB918" s="1545"/>
      <c r="AC918" s="1545"/>
      <c r="AD918" s="1545"/>
      <c r="AE918" s="1545"/>
      <c r="AF918" s="154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05" customHeight="1">
      <c r="F919" s="45" t="s">
        <v>809</v>
      </c>
      <c r="G919" s="5"/>
      <c r="H919" s="5"/>
      <c r="I919" s="5"/>
      <c r="J919" s="5"/>
      <c r="K919" s="5"/>
      <c r="L919" s="5"/>
      <c r="M919" s="5"/>
      <c r="N919" s="5"/>
      <c r="O919" s="5"/>
      <c r="P919" s="5"/>
      <c r="Q919" s="5"/>
      <c r="R919" s="5"/>
      <c r="S919" s="5"/>
      <c r="T919" s="46"/>
      <c r="U919" s="1559" t="s">
        <v>599</v>
      </c>
      <c r="V919" s="1560"/>
      <c r="W919" s="1560"/>
      <c r="X919" s="1560"/>
      <c r="Y919" s="1560"/>
      <c r="Z919" s="1561"/>
      <c r="AA919" s="1544"/>
      <c r="AB919" s="1545"/>
      <c r="AC919" s="1545"/>
      <c r="AD919" s="1545"/>
      <c r="AE919" s="1545"/>
      <c r="AF919" s="154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05" customHeight="1">
      <c r="F920" s="45" t="s">
        <v>685</v>
      </c>
      <c r="G920" s="5"/>
      <c r="H920" s="5"/>
      <c r="I920" s="5"/>
      <c r="J920" s="5"/>
      <c r="K920" s="5"/>
      <c r="L920" s="5"/>
      <c r="M920" s="5"/>
      <c r="N920" s="5"/>
      <c r="O920" s="5"/>
      <c r="P920" s="5"/>
      <c r="Q920" s="5"/>
      <c r="R920" s="5"/>
      <c r="S920" s="5"/>
      <c r="T920" s="46"/>
      <c r="U920" s="1559" t="s">
        <v>599</v>
      </c>
      <c r="V920" s="1560"/>
      <c r="W920" s="1560"/>
      <c r="X920" s="1560"/>
      <c r="Y920" s="1560"/>
      <c r="Z920" s="1561"/>
      <c r="AA920" s="1544"/>
      <c r="AB920" s="1545"/>
      <c r="AC920" s="1545"/>
      <c r="AD920" s="1545"/>
      <c r="AE920" s="1545"/>
      <c r="AF920" s="154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05" customHeight="1">
      <c r="F921" s="66" t="s">
        <v>794</v>
      </c>
      <c r="G921" s="5"/>
      <c r="H921" s="5"/>
      <c r="I921" s="5"/>
      <c r="J921" s="5"/>
      <c r="K921" s="5"/>
      <c r="L921" s="5"/>
      <c r="M921" s="5"/>
      <c r="N921" s="5"/>
      <c r="O921" s="5"/>
      <c r="P921" s="5"/>
      <c r="Q921" s="5"/>
      <c r="R921" s="5"/>
      <c r="S921" s="5"/>
      <c r="T921" s="46"/>
      <c r="U921" s="1559" t="s">
        <v>599</v>
      </c>
      <c r="V921" s="1560"/>
      <c r="W921" s="1560"/>
      <c r="X921" s="1560"/>
      <c r="Y921" s="1560"/>
      <c r="Z921" s="1561"/>
      <c r="AA921" s="1544"/>
      <c r="AB921" s="1545"/>
      <c r="AC921" s="1545"/>
      <c r="AD921" s="1545"/>
      <c r="AE921" s="1545"/>
      <c r="AF921" s="154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05" customHeight="1">
      <c r="F922" s="66" t="s">
        <v>795</v>
      </c>
      <c r="G922" s="5"/>
      <c r="H922" s="5"/>
      <c r="I922" s="5"/>
      <c r="J922" s="5"/>
      <c r="K922" s="5"/>
      <c r="L922" s="5"/>
      <c r="M922" s="5"/>
      <c r="N922" s="5"/>
      <c r="O922" s="5"/>
      <c r="P922" s="5"/>
      <c r="Q922" s="5"/>
      <c r="R922" s="5"/>
      <c r="S922" s="5"/>
      <c r="T922" s="46"/>
      <c r="U922" s="1559" t="s">
        <v>599</v>
      </c>
      <c r="V922" s="1560"/>
      <c r="W922" s="1560"/>
      <c r="X922" s="1560"/>
      <c r="Y922" s="1560"/>
      <c r="Z922" s="1561"/>
      <c r="AA922" s="1544"/>
      <c r="AB922" s="1545"/>
      <c r="AC922" s="1545"/>
      <c r="AD922" s="1545"/>
      <c r="AE922" s="1545"/>
      <c r="AF922" s="154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05" customHeight="1">
      <c r="F923" s="66" t="s">
        <v>796</v>
      </c>
      <c r="G923" s="5"/>
      <c r="H923" s="5"/>
      <c r="I923" s="5"/>
      <c r="J923" s="5"/>
      <c r="K923" s="5"/>
      <c r="L923" s="5"/>
      <c r="M923" s="5"/>
      <c r="N923" s="5"/>
      <c r="O923" s="5"/>
      <c r="P923" s="5"/>
      <c r="Q923" s="5"/>
      <c r="R923" s="5"/>
      <c r="S923" s="5"/>
      <c r="T923" s="46"/>
      <c r="U923" s="1559" t="s">
        <v>599</v>
      </c>
      <c r="V923" s="1560"/>
      <c r="W923" s="1560"/>
      <c r="X923" s="1560"/>
      <c r="Y923" s="1560"/>
      <c r="Z923" s="1561"/>
      <c r="AA923" s="1544"/>
      <c r="AB923" s="1545"/>
      <c r="AC923" s="1545"/>
      <c r="AD923" s="1545"/>
      <c r="AE923" s="1545"/>
      <c r="AF923" s="154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05" customHeight="1">
      <c r="F924" s="45" t="s">
        <v>684</v>
      </c>
      <c r="G924" s="5"/>
      <c r="H924" s="5"/>
      <c r="I924" s="5"/>
      <c r="J924" s="5"/>
      <c r="K924" s="5"/>
      <c r="L924" s="5"/>
      <c r="M924" s="5"/>
      <c r="N924" s="5"/>
      <c r="O924" s="5"/>
      <c r="P924" s="5"/>
      <c r="Q924" s="5"/>
      <c r="R924" s="5"/>
      <c r="S924" s="5"/>
      <c r="T924" s="46"/>
      <c r="U924" s="1559" t="s">
        <v>599</v>
      </c>
      <c r="V924" s="1560"/>
      <c r="W924" s="1560"/>
      <c r="X924" s="1560"/>
      <c r="Y924" s="1560"/>
      <c r="Z924" s="1561"/>
      <c r="AA924" s="1544"/>
      <c r="AB924" s="1545"/>
      <c r="AC924" s="1545"/>
      <c r="AD924" s="1545"/>
      <c r="AE924" s="1545"/>
      <c r="AF924" s="154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05" customHeight="1">
      <c r="F925" s="1593" t="s">
        <v>2549</v>
      </c>
      <c r="G925" s="1594"/>
      <c r="H925" s="1594"/>
      <c r="I925" s="1594"/>
      <c r="J925" s="1594"/>
      <c r="K925" s="1594"/>
      <c r="L925" s="1594"/>
      <c r="M925" s="1594"/>
      <c r="N925" s="1594"/>
      <c r="O925" s="1594"/>
      <c r="P925" s="1594"/>
      <c r="Q925" s="1594"/>
      <c r="R925" s="1594"/>
      <c r="S925" s="1594"/>
      <c r="T925" s="1595"/>
      <c r="U925" s="1559" t="s">
        <v>599</v>
      </c>
      <c r="V925" s="1560"/>
      <c r="W925" s="1560"/>
      <c r="X925" s="1560"/>
      <c r="Y925" s="1560"/>
      <c r="Z925" s="1561"/>
      <c r="AA925" s="1544"/>
      <c r="AB925" s="1545"/>
      <c r="AC925" s="1545"/>
      <c r="AD925" s="1545"/>
      <c r="AE925" s="1545"/>
      <c r="AF925" s="154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05" customHeight="1">
      <c r="F926" s="1593" t="s">
        <v>686</v>
      </c>
      <c r="G926" s="1594"/>
      <c r="H926" s="1594"/>
      <c r="I926" s="1594"/>
      <c r="J926" s="1594"/>
      <c r="K926" s="1594"/>
      <c r="L926" s="1594"/>
      <c r="M926" s="1594"/>
      <c r="N926" s="1594"/>
      <c r="O926" s="1594"/>
      <c r="P926" s="1594"/>
      <c r="Q926" s="1594"/>
      <c r="R926" s="1594"/>
      <c r="S926" s="1594"/>
      <c r="T926" s="1595"/>
      <c r="U926" s="1559" t="s">
        <v>599</v>
      </c>
      <c r="V926" s="1560"/>
      <c r="W926" s="1560"/>
      <c r="X926" s="1560"/>
      <c r="Y926" s="1560"/>
      <c r="Z926" s="1561"/>
      <c r="AA926" s="1544"/>
      <c r="AB926" s="1545"/>
      <c r="AC926" s="1545"/>
      <c r="AD926" s="1545"/>
      <c r="AE926" s="1545"/>
      <c r="AF926" s="154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05" customHeight="1">
      <c r="F927" s="1593" t="s">
        <v>2550</v>
      </c>
      <c r="G927" s="1594"/>
      <c r="H927" s="1594"/>
      <c r="I927" s="1594"/>
      <c r="J927" s="1594"/>
      <c r="K927" s="1594"/>
      <c r="L927" s="1594"/>
      <c r="M927" s="1594"/>
      <c r="N927" s="1594"/>
      <c r="O927" s="1594"/>
      <c r="P927" s="1594"/>
      <c r="Q927" s="1594"/>
      <c r="R927" s="1594"/>
      <c r="S927" s="1594"/>
      <c r="T927" s="1595"/>
      <c r="U927" s="1559" t="s">
        <v>599</v>
      </c>
      <c r="V927" s="1560"/>
      <c r="W927" s="1560"/>
      <c r="X927" s="1560"/>
      <c r="Y927" s="1560"/>
      <c r="Z927" s="1561"/>
      <c r="AA927" s="1544"/>
      <c r="AB927" s="1545"/>
      <c r="AC927" s="1545"/>
      <c r="AD927" s="1545"/>
      <c r="AE927" s="1545"/>
      <c r="AF927" s="154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05" customHeight="1">
      <c r="F928" s="1593" t="s">
        <v>2551</v>
      </c>
      <c r="G928" s="1594"/>
      <c r="H928" s="1594"/>
      <c r="I928" s="1594"/>
      <c r="J928" s="1594"/>
      <c r="K928" s="1594"/>
      <c r="L928" s="1594"/>
      <c r="M928" s="1594"/>
      <c r="N928" s="1594"/>
      <c r="O928" s="1594"/>
      <c r="P928" s="1594"/>
      <c r="Q928" s="1594"/>
      <c r="R928" s="1594"/>
      <c r="S928" s="1594"/>
      <c r="T928" s="1595"/>
      <c r="U928" s="1559" t="s">
        <v>599</v>
      </c>
      <c r="V928" s="1560"/>
      <c r="W928" s="1560"/>
      <c r="X928" s="1560"/>
      <c r="Y928" s="1560"/>
      <c r="Z928" s="1561"/>
      <c r="AA928" s="1544"/>
      <c r="AB928" s="1545"/>
      <c r="AC928" s="1545"/>
      <c r="AD928" s="1545"/>
      <c r="AE928" s="1545"/>
      <c r="AF928" s="154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05" customHeight="1">
      <c r="F929" s="1593" t="s">
        <v>2552</v>
      </c>
      <c r="G929" s="1594"/>
      <c r="H929" s="1594"/>
      <c r="I929" s="1594"/>
      <c r="J929" s="1594"/>
      <c r="K929" s="1594"/>
      <c r="L929" s="1594"/>
      <c r="M929" s="1594"/>
      <c r="N929" s="1594"/>
      <c r="O929" s="1594"/>
      <c r="P929" s="1594"/>
      <c r="Q929" s="1594"/>
      <c r="R929" s="1594"/>
      <c r="S929" s="1594"/>
      <c r="T929" s="1595"/>
      <c r="U929" s="1559" t="s">
        <v>599</v>
      </c>
      <c r="V929" s="1560"/>
      <c r="W929" s="1560"/>
      <c r="X929" s="1560"/>
      <c r="Y929" s="1560"/>
      <c r="Z929" s="1561"/>
      <c r="AA929" s="1544"/>
      <c r="AB929" s="1545"/>
      <c r="AC929" s="1545"/>
      <c r="AD929" s="1545"/>
      <c r="AE929" s="1545"/>
      <c r="AF929" s="154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05" customHeight="1">
      <c r="F930" s="1593" t="s">
        <v>2553</v>
      </c>
      <c r="G930" s="1594"/>
      <c r="H930" s="1594"/>
      <c r="I930" s="1594"/>
      <c r="J930" s="1594"/>
      <c r="K930" s="1594"/>
      <c r="L930" s="1594"/>
      <c r="M930" s="1594"/>
      <c r="N930" s="1594"/>
      <c r="O930" s="1594"/>
      <c r="P930" s="1594"/>
      <c r="Q930" s="1594"/>
      <c r="R930" s="1594"/>
      <c r="S930" s="1594"/>
      <c r="T930" s="1595"/>
      <c r="U930" s="1559" t="s">
        <v>599</v>
      </c>
      <c r="V930" s="1560"/>
      <c r="W930" s="1560"/>
      <c r="X930" s="1560"/>
      <c r="Y930" s="1560"/>
      <c r="Z930" s="1561"/>
      <c r="AA930" s="1544"/>
      <c r="AB930" s="1545"/>
      <c r="AC930" s="1545"/>
      <c r="AD930" s="1545"/>
      <c r="AE930" s="1545"/>
      <c r="AF930" s="154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05" customHeight="1">
      <c r="F931" s="1593" t="s">
        <v>2554</v>
      </c>
      <c r="G931" s="1594"/>
      <c r="H931" s="1594"/>
      <c r="I931" s="1594"/>
      <c r="J931" s="1594"/>
      <c r="K931" s="1594"/>
      <c r="L931" s="1594"/>
      <c r="M931" s="1594"/>
      <c r="N931" s="1594"/>
      <c r="O931" s="1594"/>
      <c r="P931" s="1594"/>
      <c r="Q931" s="1594"/>
      <c r="R931" s="1594"/>
      <c r="S931" s="1594"/>
      <c r="T931" s="1595"/>
      <c r="U931" s="1559" t="s">
        <v>599</v>
      </c>
      <c r="V931" s="1560"/>
      <c r="W931" s="1560"/>
      <c r="X931" s="1560"/>
      <c r="Y931" s="1560"/>
      <c r="Z931" s="1561"/>
      <c r="AA931" s="1544"/>
      <c r="AB931" s="1545"/>
      <c r="AC931" s="1545"/>
      <c r="AD931" s="1545"/>
      <c r="AE931" s="1545"/>
      <c r="AF931" s="154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05" customHeight="1">
      <c r="F932" s="187" t="s">
        <v>683</v>
      </c>
      <c r="G932" s="5"/>
      <c r="H932" s="5"/>
      <c r="I932" s="5"/>
      <c r="J932" s="5"/>
      <c r="K932" s="5"/>
      <c r="L932" s="5"/>
      <c r="M932" s="5"/>
      <c r="N932" s="5"/>
      <c r="O932" s="5"/>
      <c r="P932" s="5"/>
      <c r="Q932" s="5"/>
      <c r="R932" s="5"/>
      <c r="S932" s="5"/>
      <c r="T932" s="46"/>
      <c r="U932" s="1559" t="s">
        <v>599</v>
      </c>
      <c r="V932" s="1560"/>
      <c r="W932" s="1560"/>
      <c r="X932" s="1560"/>
      <c r="Y932" s="1560"/>
      <c r="Z932" s="1561"/>
      <c r="AA932" s="1544"/>
      <c r="AB932" s="1545"/>
      <c r="AC932" s="1545"/>
      <c r="AD932" s="1545"/>
      <c r="AE932" s="1545"/>
      <c r="AF932" s="154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05" customHeight="1">
      <c r="F933" s="121" t="s">
        <v>1384</v>
      </c>
      <c r="G933" s="5"/>
      <c r="H933" s="5"/>
      <c r="I933" s="5"/>
      <c r="J933" s="5"/>
      <c r="K933" s="5"/>
      <c r="L933" s="5"/>
      <c r="M933" s="5"/>
      <c r="N933" s="5"/>
      <c r="O933" s="5"/>
      <c r="P933" s="5"/>
      <c r="Q933" s="5"/>
      <c r="R933" s="5"/>
      <c r="S933" s="5"/>
      <c r="T933" s="46"/>
      <c r="U933" s="1559" t="s">
        <v>599</v>
      </c>
      <c r="V933" s="1560"/>
      <c r="W933" s="1560"/>
      <c r="X933" s="1560"/>
      <c r="Y933" s="1560"/>
      <c r="Z933" s="1561"/>
      <c r="AA933" s="1544"/>
      <c r="AB933" s="1545"/>
      <c r="AC933" s="1545"/>
      <c r="AD933" s="1545"/>
      <c r="AE933" s="1545"/>
      <c r="AF933" s="154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05" customHeight="1">
      <c r="F934" s="66" t="s">
        <v>810</v>
      </c>
      <c r="G934" s="5"/>
      <c r="H934" s="5"/>
      <c r="I934" s="5"/>
      <c r="J934" s="5"/>
      <c r="K934" s="5"/>
      <c r="L934" s="5"/>
      <c r="M934" s="5"/>
      <c r="N934" s="5"/>
      <c r="O934" s="5"/>
      <c r="P934" s="5"/>
      <c r="Q934" s="5"/>
      <c r="R934" s="5"/>
      <c r="S934" s="5"/>
      <c r="T934" s="46"/>
      <c r="U934" s="1559" t="s">
        <v>599</v>
      </c>
      <c r="V934" s="1560"/>
      <c r="W934" s="1560"/>
      <c r="X934" s="1560"/>
      <c r="Y934" s="1560"/>
      <c r="Z934" s="1561"/>
      <c r="AA934" s="1544"/>
      <c r="AB934" s="1545"/>
      <c r="AC934" s="1545"/>
      <c r="AD934" s="1545"/>
      <c r="AE934" s="1545"/>
      <c r="AF934" s="154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05" customHeight="1">
      <c r="F935" s="1562" t="s">
        <v>2558</v>
      </c>
      <c r="G935" s="1563"/>
      <c r="H935" s="1563"/>
      <c r="I935" s="1563"/>
      <c r="J935" s="1563"/>
      <c r="K935" s="1563"/>
      <c r="L935" s="1563"/>
      <c r="M935" s="1563"/>
      <c r="N935" s="1563"/>
      <c r="O935" s="1563"/>
      <c r="P935" s="1563"/>
      <c r="Q935" s="1563"/>
      <c r="R935" s="1563"/>
      <c r="S935" s="1563"/>
      <c r="T935" s="1564"/>
      <c r="U935" s="1559" t="s">
        <v>599</v>
      </c>
      <c r="V935" s="1560"/>
      <c r="W935" s="1560"/>
      <c r="X935" s="1560"/>
      <c r="Y935" s="1560"/>
      <c r="Z935" s="1561"/>
      <c r="AA935" s="1544"/>
      <c r="AB935" s="1545"/>
      <c r="AC935" s="1545"/>
      <c r="AD935" s="1545"/>
      <c r="AE935" s="1545"/>
      <c r="AF935" s="154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05" customHeight="1">
      <c r="F936" s="1562" t="s">
        <v>2559</v>
      </c>
      <c r="G936" s="1563"/>
      <c r="H936" s="1563"/>
      <c r="I936" s="1563"/>
      <c r="J936" s="1563"/>
      <c r="K936" s="1563"/>
      <c r="L936" s="1563"/>
      <c r="M936" s="1563"/>
      <c r="N936" s="1563"/>
      <c r="O936" s="1563"/>
      <c r="P936" s="1563"/>
      <c r="Q936" s="1563"/>
      <c r="R936" s="1563"/>
      <c r="S936" s="1563"/>
      <c r="T936" s="1564"/>
      <c r="U936" s="1559" t="s">
        <v>599</v>
      </c>
      <c r="V936" s="1560"/>
      <c r="W936" s="1560"/>
      <c r="X936" s="1560"/>
      <c r="Y936" s="1560"/>
      <c r="Z936" s="1561"/>
      <c r="AA936" s="1544"/>
      <c r="AB936" s="1545"/>
      <c r="AC936" s="1545"/>
      <c r="AD936" s="1545"/>
      <c r="AE936" s="1545"/>
      <c r="AF936" s="154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05" customHeight="1">
      <c r="F937" s="1593" t="s">
        <v>2555</v>
      </c>
      <c r="G937" s="1594"/>
      <c r="H937" s="1594"/>
      <c r="I937" s="1594"/>
      <c r="J937" s="1594"/>
      <c r="K937" s="1594"/>
      <c r="L937" s="1594"/>
      <c r="M937" s="1594"/>
      <c r="N937" s="1594"/>
      <c r="O937" s="1594"/>
      <c r="P937" s="1594"/>
      <c r="Q937" s="1594"/>
      <c r="R937" s="1594"/>
      <c r="S937" s="1594"/>
      <c r="T937" s="1595"/>
      <c r="U937" s="1559" t="s">
        <v>599</v>
      </c>
      <c r="V937" s="1560"/>
      <c r="W937" s="1560"/>
      <c r="X937" s="1560"/>
      <c r="Y937" s="1560"/>
      <c r="Z937" s="1561"/>
      <c r="AA937" s="1544"/>
      <c r="AB937" s="1545"/>
      <c r="AC937" s="1545"/>
      <c r="AD937" s="1545"/>
      <c r="AE937" s="1545"/>
      <c r="AF937" s="154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05" customHeight="1">
      <c r="F938" s="1593" t="s">
        <v>2556</v>
      </c>
      <c r="G938" s="1594"/>
      <c r="H938" s="1594"/>
      <c r="I938" s="1594"/>
      <c r="J938" s="1594"/>
      <c r="K938" s="1594"/>
      <c r="L938" s="1594"/>
      <c r="M938" s="1594"/>
      <c r="N938" s="1594"/>
      <c r="O938" s="1594"/>
      <c r="P938" s="1594"/>
      <c r="Q938" s="1594"/>
      <c r="R938" s="1594"/>
      <c r="S938" s="1594"/>
      <c r="T938" s="1595"/>
      <c r="U938" s="1559" t="s">
        <v>599</v>
      </c>
      <c r="V938" s="1560"/>
      <c r="W938" s="1560"/>
      <c r="X938" s="1560"/>
      <c r="Y938" s="1560"/>
      <c r="Z938" s="1561"/>
      <c r="AA938" s="1544"/>
      <c r="AB938" s="1545"/>
      <c r="AC938" s="1545"/>
      <c r="AD938" s="1545"/>
      <c r="AE938" s="1545"/>
      <c r="AF938" s="154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05" customHeight="1">
      <c r="F939" s="1593" t="s">
        <v>2557</v>
      </c>
      <c r="G939" s="1594"/>
      <c r="H939" s="1594"/>
      <c r="I939" s="1594"/>
      <c r="J939" s="1594"/>
      <c r="K939" s="1594"/>
      <c r="L939" s="1594"/>
      <c r="M939" s="1594"/>
      <c r="N939" s="1594"/>
      <c r="O939" s="1594"/>
      <c r="P939" s="1594"/>
      <c r="Q939" s="1594"/>
      <c r="R939" s="1594"/>
      <c r="S939" s="1594"/>
      <c r="T939" s="1595"/>
      <c r="U939" s="1559" t="s">
        <v>599</v>
      </c>
      <c r="V939" s="1560"/>
      <c r="W939" s="1560"/>
      <c r="X939" s="1560"/>
      <c r="Y939" s="1560"/>
      <c r="Z939" s="1561"/>
      <c r="AA939" s="1544"/>
      <c r="AB939" s="1545"/>
      <c r="AC939" s="1545"/>
      <c r="AD939" s="1545"/>
      <c r="AE939" s="1545"/>
      <c r="AF939" s="154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05" customHeight="1">
      <c r="F940" s="121" t="s">
        <v>1368</v>
      </c>
      <c r="G940" s="5"/>
      <c r="H940" s="5"/>
      <c r="I940" s="5"/>
      <c r="J940" s="5"/>
      <c r="K940" s="5"/>
      <c r="L940" s="5"/>
      <c r="M940" s="5"/>
      <c r="N940" s="5"/>
      <c r="O940" s="5"/>
      <c r="P940" s="5"/>
      <c r="Q940" s="5"/>
      <c r="R940" s="5"/>
      <c r="S940" s="5"/>
      <c r="T940" s="46"/>
      <c r="U940" s="1559" t="s">
        <v>599</v>
      </c>
      <c r="V940" s="1560"/>
      <c r="W940" s="1560"/>
      <c r="X940" s="1560"/>
      <c r="Y940" s="1560"/>
      <c r="Z940" s="1561"/>
      <c r="AA940" s="1544"/>
      <c r="AB940" s="1545"/>
      <c r="AC940" s="1545"/>
      <c r="AD940" s="1545"/>
      <c r="AE940" s="1545"/>
      <c r="AF940" s="154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05" customHeight="1">
      <c r="F941" s="1562" t="s">
        <v>2560</v>
      </c>
      <c r="G941" s="1563"/>
      <c r="H941" s="1563"/>
      <c r="I941" s="1563"/>
      <c r="J941" s="1563"/>
      <c r="K941" s="1563"/>
      <c r="L941" s="1563"/>
      <c r="M941" s="1563"/>
      <c r="N941" s="1563"/>
      <c r="O941" s="1563"/>
      <c r="P941" s="1563"/>
      <c r="Q941" s="1563"/>
      <c r="R941" s="1563"/>
      <c r="S941" s="1563"/>
      <c r="T941" s="1564"/>
      <c r="U941" s="1559" t="s">
        <v>599</v>
      </c>
      <c r="V941" s="1560"/>
      <c r="W941" s="1560"/>
      <c r="X941" s="1560"/>
      <c r="Y941" s="1560"/>
      <c r="Z941" s="1561"/>
      <c r="AA941" s="1544"/>
      <c r="AB941" s="1545"/>
      <c r="AC941" s="1545"/>
      <c r="AD941" s="1545"/>
      <c r="AE941" s="1545"/>
      <c r="AF941" s="154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05" customHeight="1">
      <c r="F942" s="121" t="s">
        <v>1369</v>
      </c>
      <c r="G942" s="5"/>
      <c r="H942" s="5"/>
      <c r="I942" s="5"/>
      <c r="J942" s="5"/>
      <c r="K942" s="5"/>
      <c r="L942" s="5"/>
      <c r="M942" s="5"/>
      <c r="N942" s="5"/>
      <c r="O942" s="5"/>
      <c r="P942" s="5"/>
      <c r="Q942" s="5"/>
      <c r="R942" s="5"/>
      <c r="S942" s="5"/>
      <c r="T942" s="46"/>
      <c r="U942" s="1559" t="s">
        <v>599</v>
      </c>
      <c r="V942" s="1560"/>
      <c r="W942" s="1560"/>
      <c r="X942" s="1560"/>
      <c r="Y942" s="1560"/>
      <c r="Z942" s="1561"/>
      <c r="AA942" s="1544"/>
      <c r="AB942" s="1545"/>
      <c r="AC942" s="1545"/>
      <c r="AD942" s="1545"/>
      <c r="AE942" s="1545"/>
      <c r="AF942" s="154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05" customHeight="1">
      <c r="F943" s="1562" t="s">
        <v>2561</v>
      </c>
      <c r="G943" s="1563"/>
      <c r="H943" s="1563"/>
      <c r="I943" s="1563"/>
      <c r="J943" s="1563"/>
      <c r="K943" s="1563"/>
      <c r="L943" s="1563"/>
      <c r="M943" s="1563"/>
      <c r="N943" s="1563"/>
      <c r="O943" s="1563"/>
      <c r="P943" s="1563"/>
      <c r="Q943" s="1563"/>
      <c r="R943" s="1563"/>
      <c r="S943" s="1563"/>
      <c r="T943" s="1564"/>
      <c r="U943" s="1559" t="s">
        <v>599</v>
      </c>
      <c r="V943" s="1560"/>
      <c r="W943" s="1560"/>
      <c r="X943" s="1560"/>
      <c r="Y943" s="1560"/>
      <c r="Z943" s="1561"/>
      <c r="AA943" s="1544"/>
      <c r="AB943" s="1545"/>
      <c r="AC943" s="1545"/>
      <c r="AD943" s="1545"/>
      <c r="AE943" s="1545"/>
      <c r="AF943" s="154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05" customHeight="1">
      <c r="F944" s="45" t="s">
        <v>814</v>
      </c>
      <c r="G944" s="5"/>
      <c r="H944" s="5"/>
      <c r="I944" s="5"/>
      <c r="J944" s="5"/>
      <c r="K944" s="5"/>
      <c r="L944" s="5"/>
      <c r="M944" s="5"/>
      <c r="N944" s="5"/>
      <c r="O944" s="5"/>
      <c r="P944" s="1559" t="s">
        <v>676</v>
      </c>
      <c r="Q944" s="1560"/>
      <c r="R944" s="1560"/>
      <c r="S944" s="1560"/>
      <c r="T944" s="1561"/>
      <c r="U944" s="1559" t="s">
        <v>599</v>
      </c>
      <c r="V944" s="1560"/>
      <c r="W944" s="1560"/>
      <c r="X944" s="1560"/>
      <c r="Y944" s="1560"/>
      <c r="Z944" s="1561"/>
      <c r="AA944" s="1544"/>
      <c r="AB944" s="1545"/>
      <c r="AC944" s="1545"/>
      <c r="AD944" s="1545"/>
      <c r="AE944" s="1545"/>
      <c r="AF944" s="154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05" customHeight="1">
      <c r="F945" s="1593" t="s">
        <v>2548</v>
      </c>
      <c r="G945" s="1594"/>
      <c r="H945" s="1595"/>
      <c r="I945" s="1628" t="s">
        <v>2716</v>
      </c>
      <c r="J945" s="1629"/>
      <c r="K945" s="1629"/>
      <c r="L945" s="1629"/>
      <c r="M945" s="1629"/>
      <c r="N945" s="1629"/>
      <c r="O945" s="1629"/>
      <c r="P945" s="1629"/>
      <c r="Q945" s="1629"/>
      <c r="R945" s="1629"/>
      <c r="S945" s="1629"/>
      <c r="T945" s="1630"/>
      <c r="U945" s="1559" t="s">
        <v>553</v>
      </c>
      <c r="V945" s="1560"/>
      <c r="W945" s="1560"/>
      <c r="X945" s="1560"/>
      <c r="Y945" s="1560"/>
      <c r="Z945" s="1561"/>
      <c r="AA945" s="1544">
        <v>31946611</v>
      </c>
      <c r="AB945" s="1545"/>
      <c r="AC945" s="1545"/>
      <c r="AD945" s="1545"/>
      <c r="AE945" s="1545"/>
      <c r="AF945" s="154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05" customHeight="1">
      <c r="F946" s="45" t="s">
        <v>86</v>
      </c>
      <c r="G946" s="48"/>
      <c r="H946" s="48"/>
      <c r="I946" s="1628" t="s">
        <v>2717</v>
      </c>
      <c r="J946" s="1629"/>
      <c r="K946" s="1629"/>
      <c r="L946" s="1629"/>
      <c r="M946" s="1629"/>
      <c r="N946" s="1629"/>
      <c r="O946" s="1629"/>
      <c r="P946" s="1629"/>
      <c r="Q946" s="1629"/>
      <c r="R946" s="1629"/>
      <c r="S946" s="1629"/>
      <c r="T946" s="1630"/>
      <c r="U946" s="1559" t="s">
        <v>553</v>
      </c>
      <c r="V946" s="1560"/>
      <c r="W946" s="1560"/>
      <c r="X946" s="1560"/>
      <c r="Y946" s="1560"/>
      <c r="Z946" s="1561"/>
      <c r="AA946" s="1544">
        <v>14524331</v>
      </c>
      <c r="AB946" s="1545"/>
      <c r="AC946" s="1545"/>
      <c r="AD946" s="1545"/>
      <c r="AE946" s="1545"/>
      <c r="AF946" s="154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05" customHeight="1">
      <c r="F947" s="45" t="s">
        <v>10</v>
      </c>
      <c r="G947" s="48"/>
      <c r="H947" s="48"/>
      <c r="I947" s="1541" t="s">
        <v>335</v>
      </c>
      <c r="J947" s="1542"/>
      <c r="K947" s="1542"/>
      <c r="L947" s="1542"/>
      <c r="M947" s="1542"/>
      <c r="N947" s="1542"/>
      <c r="O947" s="1542"/>
      <c r="P947" s="1542"/>
      <c r="Q947" s="1542"/>
      <c r="R947" s="1542"/>
      <c r="S947" s="1542"/>
      <c r="T947" s="1543"/>
      <c r="U947" s="1559" t="s">
        <v>599</v>
      </c>
      <c r="V947" s="1560"/>
      <c r="W947" s="1560"/>
      <c r="X947" s="1560"/>
      <c r="Y947" s="1560"/>
      <c r="Z947" s="1561"/>
      <c r="AA947" s="1544"/>
      <c r="AB947" s="1545"/>
      <c r="AC947" s="1545"/>
      <c r="AD947" s="1545"/>
      <c r="AE947" s="1545"/>
      <c r="AF947" s="154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05" customHeight="1">
      <c r="F948" s="47" t="s">
        <v>170</v>
      </c>
      <c r="G948" s="48"/>
      <c r="H948" s="48"/>
      <c r="I948" s="1541" t="s">
        <v>335</v>
      </c>
      <c r="J948" s="1542"/>
      <c r="K948" s="1542"/>
      <c r="L948" s="1542"/>
      <c r="M948" s="1542"/>
      <c r="N948" s="1542"/>
      <c r="O948" s="1542"/>
      <c r="P948" s="1542"/>
      <c r="Q948" s="1542"/>
      <c r="R948" s="1542"/>
      <c r="S948" s="1542"/>
      <c r="T948" s="1543"/>
      <c r="U948" s="1559" t="s">
        <v>599</v>
      </c>
      <c r="V948" s="1560"/>
      <c r="W948" s="1560"/>
      <c r="X948" s="1560"/>
      <c r="Y948" s="1560"/>
      <c r="Z948" s="1561"/>
      <c r="AA948" s="1544"/>
      <c r="AB948" s="1545"/>
      <c r="AC948" s="1545"/>
      <c r="AD948" s="1545"/>
      <c r="AE948" s="1545"/>
      <c r="AF948" s="154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05" customHeight="1">
      <c r="F949" s="47" t="s">
        <v>170</v>
      </c>
      <c r="G949" s="48"/>
      <c r="H949" s="48"/>
      <c r="I949" s="1541" t="s">
        <v>335</v>
      </c>
      <c r="J949" s="1542"/>
      <c r="K949" s="1542"/>
      <c r="L949" s="1542"/>
      <c r="M949" s="1542"/>
      <c r="N949" s="1542"/>
      <c r="O949" s="1542"/>
      <c r="P949" s="1542"/>
      <c r="Q949" s="1542"/>
      <c r="R949" s="1542"/>
      <c r="S949" s="1542"/>
      <c r="T949" s="1543"/>
      <c r="U949" s="1559" t="s">
        <v>599</v>
      </c>
      <c r="V949" s="1560"/>
      <c r="W949" s="1560"/>
      <c r="X949" s="1560"/>
      <c r="Y949" s="1560"/>
      <c r="Z949" s="1561"/>
      <c r="AA949" s="1544"/>
      <c r="AB949" s="1545"/>
      <c r="AC949" s="1545"/>
      <c r="AD949" s="1545"/>
      <c r="AE949" s="1545"/>
      <c r="AF949" s="154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0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05" customHeight="1">
      <c r="A951" s="2" t="s">
        <v>584</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0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0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05" customHeight="1">
      <c r="C954" s="66" t="s">
        <v>11</v>
      </c>
      <c r="D954" s="5"/>
      <c r="E954" s="5"/>
      <c r="F954" s="5"/>
      <c r="G954" s="5"/>
      <c r="H954" s="5"/>
      <c r="I954" s="5"/>
      <c r="J954" s="5"/>
      <c r="K954" s="5"/>
      <c r="L954" s="46"/>
      <c r="M954" s="1584">
        <v>45463</v>
      </c>
      <c r="N954" s="1585"/>
      <c r="O954" s="1585"/>
      <c r="P954" s="1585"/>
      <c r="Q954" s="1585"/>
      <c r="R954" s="1585"/>
      <c r="S954" s="1586"/>
      <c r="U954" s="66" t="s">
        <v>11</v>
      </c>
      <c r="V954" s="5"/>
      <c r="W954" s="5"/>
      <c r="X954" s="5"/>
      <c r="Y954" s="5"/>
      <c r="Z954" s="5"/>
      <c r="AA954" s="5"/>
      <c r="AB954" s="5"/>
      <c r="AC954" s="5"/>
      <c r="AD954" s="46"/>
      <c r="AE954" s="1584"/>
      <c r="AF954" s="1585"/>
      <c r="AG954" s="1585"/>
      <c r="AH954" s="1585"/>
      <c r="AI954" s="1585"/>
      <c r="AJ954" s="1585"/>
      <c r="AK954" s="158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05" customHeight="1">
      <c r="C955" s="66" t="s">
        <v>12</v>
      </c>
      <c r="D955" s="5"/>
      <c r="E955" s="5"/>
      <c r="F955" s="5"/>
      <c r="G955" s="5"/>
      <c r="H955" s="5"/>
      <c r="I955" s="5"/>
      <c r="J955" s="5"/>
      <c r="K955" s="5"/>
      <c r="L955" s="46"/>
      <c r="M955" s="1565" t="s">
        <v>2742</v>
      </c>
      <c r="N955" s="1410"/>
      <c r="O955" s="1410"/>
      <c r="P955" s="1410"/>
      <c r="Q955" s="1410"/>
      <c r="R955" s="1410"/>
      <c r="S955" s="1566"/>
      <c r="U955" s="66" t="s">
        <v>12</v>
      </c>
      <c r="V955" s="5"/>
      <c r="W955" s="5"/>
      <c r="X955" s="5"/>
      <c r="Y955" s="5"/>
      <c r="Z955" s="5"/>
      <c r="AA955" s="5"/>
      <c r="AB955" s="5"/>
      <c r="AC955" s="5"/>
      <c r="AD955" s="46"/>
      <c r="AE955" s="1565"/>
      <c r="AF955" s="1410"/>
      <c r="AG955" s="1410"/>
      <c r="AH955" s="1410"/>
      <c r="AI955" s="1410"/>
      <c r="AJ955" s="1410"/>
      <c r="AK955" s="156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05" customHeight="1">
      <c r="C956" s="66" t="s">
        <v>891</v>
      </c>
      <c r="D956" s="5"/>
      <c r="E956" s="5"/>
      <c r="J956" s="1567" t="s">
        <v>2708</v>
      </c>
      <c r="K956" s="1568"/>
      <c r="L956" s="1568"/>
      <c r="M956" s="1568"/>
      <c r="N956" s="1568"/>
      <c r="O956" s="1568"/>
      <c r="P956" s="1568"/>
      <c r="Q956" s="1568"/>
      <c r="R956" s="1568"/>
      <c r="S956" s="1569"/>
      <c r="U956" s="66" t="s">
        <v>891</v>
      </c>
      <c r="V956" s="5"/>
      <c r="W956" s="5"/>
      <c r="AB956" s="1567" t="s">
        <v>308</v>
      </c>
      <c r="AC956" s="1568"/>
      <c r="AD956" s="1568"/>
      <c r="AE956" s="1568"/>
      <c r="AF956" s="1568"/>
      <c r="AG956" s="1568"/>
      <c r="AH956" s="1568"/>
      <c r="AI956" s="1568"/>
      <c r="AJ956" s="1568"/>
      <c r="AK956" s="1569"/>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05" customHeight="1">
      <c r="C957" s="66" t="s">
        <v>13</v>
      </c>
      <c r="D957" s="5"/>
      <c r="E957" s="5"/>
      <c r="F957" s="5"/>
      <c r="G957" s="5"/>
      <c r="H957" s="5"/>
      <c r="I957" s="5"/>
      <c r="J957" s="5"/>
      <c r="K957" s="5"/>
      <c r="L957" s="46"/>
      <c r="M957" s="1766">
        <v>0.4</v>
      </c>
      <c r="N957" s="1767"/>
      <c r="O957" s="1767"/>
      <c r="P957" s="1767"/>
      <c r="Q957" s="1767"/>
      <c r="R957" s="1767"/>
      <c r="S957" s="1768"/>
      <c r="U957" s="66" t="s">
        <v>13</v>
      </c>
      <c r="V957" s="5"/>
      <c r="W957" s="5"/>
      <c r="X957" s="5"/>
      <c r="Y957" s="5"/>
      <c r="Z957" s="5"/>
      <c r="AA957" s="5"/>
      <c r="AB957" s="5"/>
      <c r="AC957" s="5"/>
      <c r="AD957" s="46"/>
      <c r="AE957" s="1769"/>
      <c r="AF957" s="1767"/>
      <c r="AG957" s="1767"/>
      <c r="AH957" s="1767"/>
      <c r="AI957" s="1767"/>
      <c r="AJ957" s="1767"/>
      <c r="AK957" s="176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05" customHeight="1">
      <c r="C958" s="66" t="s">
        <v>14</v>
      </c>
      <c r="D958" s="5"/>
      <c r="E958" s="5"/>
      <c r="F958" s="5"/>
      <c r="G958" s="5"/>
      <c r="H958" s="5"/>
      <c r="I958" s="5"/>
      <c r="J958" s="5"/>
      <c r="K958" s="5"/>
      <c r="L958" s="46"/>
      <c r="M958" s="1406">
        <v>40</v>
      </c>
      <c r="N958" s="1407"/>
      <c r="O958" s="1407"/>
      <c r="P958" s="1407"/>
      <c r="Q958" s="1407"/>
      <c r="R958" s="1407"/>
      <c r="S958" s="1408"/>
      <c r="U958" s="66" t="s">
        <v>14</v>
      </c>
      <c r="V958" s="5"/>
      <c r="W958" s="5"/>
      <c r="X958" s="5"/>
      <c r="Y958" s="5"/>
      <c r="Z958" s="5"/>
      <c r="AA958" s="5"/>
      <c r="AB958" s="5"/>
      <c r="AC958" s="5"/>
      <c r="AD958" s="46"/>
      <c r="AE958" s="1406"/>
      <c r="AF958" s="1407"/>
      <c r="AG958" s="1407"/>
      <c r="AH958" s="1407"/>
      <c r="AI958" s="1407"/>
      <c r="AJ958" s="1407"/>
      <c r="AK958" s="140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05" customHeight="1">
      <c r="C959" s="66" t="s">
        <v>15</v>
      </c>
      <c r="D959" s="5"/>
      <c r="E959" s="5"/>
      <c r="F959" s="5"/>
      <c r="G959" s="5"/>
      <c r="H959" s="5"/>
      <c r="I959" s="5"/>
      <c r="J959" s="5"/>
      <c r="K959" s="5"/>
      <c r="L959" s="46"/>
      <c r="M959" s="1544">
        <f>Z809</f>
        <v>982896</v>
      </c>
      <c r="N959" s="1545"/>
      <c r="O959" s="1545"/>
      <c r="P959" s="1545"/>
      <c r="Q959" s="1545"/>
      <c r="R959" s="1545"/>
      <c r="S959" s="1546"/>
      <c r="U959" s="66" t="s">
        <v>15</v>
      </c>
      <c r="V959" s="5"/>
      <c r="W959" s="5"/>
      <c r="X959" s="5"/>
      <c r="Y959" s="5"/>
      <c r="Z959" s="5"/>
      <c r="AA959" s="5"/>
      <c r="AB959" s="5"/>
      <c r="AC959" s="5"/>
      <c r="AD959" s="46"/>
      <c r="AE959" s="1544"/>
      <c r="AF959" s="1545"/>
      <c r="AG959" s="1545"/>
      <c r="AH959" s="1545"/>
      <c r="AI959" s="1545"/>
      <c r="AJ959" s="1545"/>
      <c r="AK959" s="154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05" customHeight="1">
      <c r="C960" s="66" t="s">
        <v>16</v>
      </c>
      <c r="D960" s="5"/>
      <c r="E960" s="5"/>
      <c r="F960" s="5"/>
      <c r="G960" s="5"/>
      <c r="H960" s="5"/>
      <c r="I960" s="5"/>
      <c r="J960" s="5"/>
      <c r="K960" s="5"/>
      <c r="L960" s="46"/>
      <c r="M960" s="1544">
        <f>M959*M961</f>
        <v>14743440</v>
      </c>
      <c r="N960" s="1545"/>
      <c r="O960" s="1545"/>
      <c r="P960" s="1545"/>
      <c r="Q960" s="1545"/>
      <c r="R960" s="1545"/>
      <c r="S960" s="1546"/>
      <c r="U960" s="66" t="s">
        <v>16</v>
      </c>
      <c r="V960" s="5"/>
      <c r="W960" s="5"/>
      <c r="X960" s="5"/>
      <c r="Y960" s="5"/>
      <c r="Z960" s="5"/>
      <c r="AA960" s="5"/>
      <c r="AB960" s="5"/>
      <c r="AC960" s="5"/>
      <c r="AD960" s="46"/>
      <c r="AE960" s="1544"/>
      <c r="AF960" s="1545"/>
      <c r="AG960" s="1545"/>
      <c r="AH960" s="1545"/>
      <c r="AI960" s="1545"/>
      <c r="AJ960" s="1545"/>
      <c r="AK960" s="154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05" customHeight="1">
      <c r="C961" s="121" t="s">
        <v>1772</v>
      </c>
      <c r="D961" s="5"/>
      <c r="E961" s="5"/>
      <c r="F961" s="5"/>
      <c r="G961" s="5"/>
      <c r="H961" s="5"/>
      <c r="I961" s="5"/>
      <c r="J961" s="5"/>
      <c r="K961" s="5"/>
      <c r="L961" s="46"/>
      <c r="M961" s="1763">
        <v>15</v>
      </c>
      <c r="N961" s="1764"/>
      <c r="O961" s="1764"/>
      <c r="P961" s="1764"/>
      <c r="Q961" s="1764"/>
      <c r="R961" s="1764"/>
      <c r="S961" s="1765"/>
      <c r="U961" s="121" t="s">
        <v>1772</v>
      </c>
      <c r="V961" s="5"/>
      <c r="W961" s="5"/>
      <c r="X961" s="5"/>
      <c r="Y961" s="5"/>
      <c r="Z961" s="5"/>
      <c r="AA961" s="5"/>
      <c r="AB961" s="5"/>
      <c r="AC961" s="5"/>
      <c r="AD961" s="46"/>
      <c r="AE961" s="1763"/>
      <c r="AF961" s="1764"/>
      <c r="AG961" s="1764"/>
      <c r="AH961" s="1764"/>
      <c r="AI961" s="1764"/>
      <c r="AJ961" s="1764"/>
      <c r="AK961" s="176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0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05" customHeight="1">
      <c r="A963" s="2" t="s">
        <v>594</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0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0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05" customHeight="1">
      <c r="A966"/>
      <c r="B966"/>
      <c r="C966"/>
      <c r="D966"/>
      <c r="E966"/>
      <c r="F966" s="45" t="s">
        <v>579</v>
      </c>
      <c r="G966" s="5"/>
      <c r="H966" s="5"/>
      <c r="I966" s="5"/>
      <c r="J966" s="5"/>
      <c r="K966" s="5"/>
      <c r="L966" s="46"/>
      <c r="M966" s="1535"/>
      <c r="N966" s="1536"/>
      <c r="O966" s="1536"/>
      <c r="P966" s="1536"/>
      <c r="Q966" s="1536"/>
      <c r="R966" s="1536"/>
      <c r="S966" s="1537"/>
      <c r="T966" s="66" t="s">
        <v>798</v>
      </c>
      <c r="U966" s="5"/>
      <c r="V966" s="5"/>
      <c r="W966" s="5"/>
      <c r="X966" s="5"/>
      <c r="Y966" s="5"/>
      <c r="Z966" s="46"/>
      <c r="AA966" s="1535"/>
      <c r="AB966" s="1536"/>
      <c r="AC966" s="1536"/>
      <c r="AD966" s="1536"/>
      <c r="AE966" s="1536"/>
      <c r="AF966" s="1536"/>
      <c r="AG966" s="153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05" customHeight="1">
      <c r="A967"/>
      <c r="B967"/>
      <c r="C967"/>
      <c r="D967"/>
      <c r="E967"/>
      <c r="F967" s="45" t="s">
        <v>580</v>
      </c>
      <c r="G967" s="5"/>
      <c r="H967" s="5"/>
      <c r="I967" s="5"/>
      <c r="J967" s="5"/>
      <c r="K967" s="5"/>
      <c r="L967" s="46"/>
      <c r="M967" s="1535"/>
      <c r="N967" s="1536"/>
      <c r="O967" s="1536"/>
      <c r="P967" s="1536"/>
      <c r="Q967" s="1536"/>
      <c r="R967" s="1536"/>
      <c r="S967" s="1537"/>
      <c r="T967" s="66" t="s">
        <v>797</v>
      </c>
      <c r="U967" s="5"/>
      <c r="V967" s="5"/>
      <c r="W967" s="5"/>
      <c r="X967" s="5"/>
      <c r="Y967" s="5"/>
      <c r="Z967" s="46"/>
      <c r="AA967" s="1535"/>
      <c r="AB967" s="1536"/>
      <c r="AC967" s="1536"/>
      <c r="AD967" s="1536"/>
      <c r="AE967" s="1536"/>
      <c r="AF967" s="1536"/>
      <c r="AG967" s="153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05" customHeight="1">
      <c r="A968"/>
      <c r="B968"/>
      <c r="C968"/>
      <c r="D968"/>
      <c r="E968"/>
      <c r="F968" s="45" t="s">
        <v>915</v>
      </c>
      <c r="G968" s="5"/>
      <c r="H968" s="5"/>
      <c r="I968" s="5"/>
      <c r="J968" s="5"/>
      <c r="K968" s="5"/>
      <c r="L968" s="46"/>
      <c r="M968" s="1755" t="s">
        <v>599</v>
      </c>
      <c r="N968" s="1756"/>
      <c r="O968" s="1756"/>
      <c r="P968" s="1756"/>
      <c r="Q968" s="1756"/>
      <c r="R968" s="1756"/>
      <c r="S968" s="1757"/>
      <c r="T968" s="45" t="s">
        <v>338</v>
      </c>
      <c r="U968" s="5"/>
      <c r="V968" s="5"/>
      <c r="W968" s="5"/>
      <c r="X968" s="5"/>
      <c r="Y968" s="5"/>
      <c r="Z968" s="46"/>
      <c r="AA968" s="1535"/>
      <c r="AB968" s="1536"/>
      <c r="AC968" s="1536"/>
      <c r="AD968" s="1536"/>
      <c r="AE968" s="1536"/>
      <c r="AF968" s="1536"/>
      <c r="AG968" s="153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05" customHeight="1">
      <c r="A969"/>
      <c r="B969"/>
      <c r="C969"/>
      <c r="D969"/>
      <c r="E969"/>
      <c r="F969" s="45" t="s">
        <v>581</v>
      </c>
      <c r="G969" s="5"/>
      <c r="H969" s="5"/>
      <c r="I969" s="5"/>
      <c r="J969" s="5"/>
      <c r="K969" s="5"/>
      <c r="L969" s="46"/>
      <c r="M969" s="1535"/>
      <c r="N969" s="1536"/>
      <c r="O969" s="1536"/>
      <c r="P969" s="1536"/>
      <c r="Q969" s="1536"/>
      <c r="R969" s="1536"/>
      <c r="S969" s="1537"/>
      <c r="T969" s="45" t="s">
        <v>339</v>
      </c>
      <c r="U969" s="5"/>
      <c r="V969" s="5"/>
      <c r="W969" s="5"/>
      <c r="X969" s="5"/>
      <c r="Y969" s="5"/>
      <c r="Z969" s="46"/>
      <c r="AA969" s="1535"/>
      <c r="AB969" s="1536"/>
      <c r="AC969" s="1536"/>
      <c r="AD969" s="1536"/>
      <c r="AE969" s="1536"/>
      <c r="AF969" s="1536"/>
      <c r="AG969" s="153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05" customHeight="1">
      <c r="A970"/>
      <c r="B970"/>
      <c r="C970"/>
      <c r="D970"/>
      <c r="E970"/>
      <c r="F970" s="45" t="s">
        <v>472</v>
      </c>
      <c r="G970" s="5"/>
      <c r="H970" s="5"/>
      <c r="I970" s="5"/>
      <c r="J970" s="5"/>
      <c r="K970" s="5"/>
      <c r="L970" s="46"/>
      <c r="M970" s="1535"/>
      <c r="N970" s="1536"/>
      <c r="O970" s="1536"/>
      <c r="P970" s="1536"/>
      <c r="Q970" s="1536"/>
      <c r="R970" s="1536"/>
      <c r="S970" s="1537"/>
      <c r="T970" s="45" t="s">
        <v>377</v>
      </c>
      <c r="U970" s="5"/>
      <c r="V970" s="5"/>
      <c r="W970" s="5"/>
      <c r="X970" s="5"/>
      <c r="Y970" s="5"/>
      <c r="Z970" s="46"/>
      <c r="AA970" s="1535"/>
      <c r="AB970" s="1536"/>
      <c r="AC970" s="1536"/>
      <c r="AD970" s="1536"/>
      <c r="AE970" s="1536"/>
      <c r="AF970" s="1536"/>
      <c r="AG970" s="153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05" customHeight="1">
      <c r="A971"/>
      <c r="B971"/>
      <c r="C971"/>
      <c r="D971"/>
      <c r="E971"/>
      <c r="F971" s="260" t="s">
        <v>891</v>
      </c>
      <c r="G971" s="42"/>
      <c r="H971" s="42"/>
      <c r="I971" s="42"/>
      <c r="J971" s="42"/>
      <c r="K971" s="42"/>
      <c r="L971" s="58"/>
      <c r="M971" s="1567" t="s">
        <v>308</v>
      </c>
      <c r="N971" s="1568"/>
      <c r="O971" s="1568"/>
      <c r="P971" s="1568"/>
      <c r="Q971" s="1568"/>
      <c r="R971" s="1568"/>
      <c r="S971" s="1569"/>
      <c r="T971" s="1625"/>
      <c r="U971" s="1626"/>
      <c r="V971" s="1626"/>
      <c r="W971" s="1626"/>
      <c r="X971" s="1626"/>
      <c r="Y971" s="1626"/>
      <c r="Z971" s="1627"/>
      <c r="AA971" s="1535"/>
      <c r="AB971" s="1536"/>
      <c r="AC971" s="1536"/>
      <c r="AD971" s="1536"/>
      <c r="AE971" s="1536"/>
      <c r="AF971" s="1536"/>
      <c r="AG971" s="153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05" customHeight="1">
      <c r="A972"/>
      <c r="B972"/>
      <c r="C972"/>
      <c r="D972"/>
      <c r="E972"/>
      <c r="F972" s="41" t="s">
        <v>473</v>
      </c>
      <c r="G972" s="42"/>
      <c r="H972" s="42"/>
      <c r="I972" s="42"/>
      <c r="J972" s="42"/>
      <c r="K972" s="42"/>
      <c r="L972" s="58"/>
      <c r="M972" s="1535"/>
      <c r="N972" s="1536"/>
      <c r="O972" s="1536"/>
      <c r="P972" s="1536"/>
      <c r="Q972" s="1536"/>
      <c r="R972" s="1536"/>
      <c r="S972" s="1537"/>
      <c r="T972" s="1625"/>
      <c r="U972" s="1626"/>
      <c r="V972" s="1626"/>
      <c r="W972" s="1626"/>
      <c r="X972" s="1626"/>
      <c r="Y972" s="1626"/>
      <c r="Z972" s="1627"/>
      <c r="AA972" s="1535"/>
      <c r="AB972" s="1536"/>
      <c r="AC972" s="1536"/>
      <c r="AD972" s="1536"/>
      <c r="AE972" s="1536"/>
      <c r="AF972" s="1536"/>
      <c r="AG972" s="153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05" customHeight="1">
      <c r="F973" s="41" t="s">
        <v>337</v>
      </c>
      <c r="G973" s="42"/>
      <c r="H973" s="42"/>
      <c r="I973" s="42"/>
      <c r="J973" s="42"/>
      <c r="K973" s="42"/>
      <c r="L973" s="42"/>
      <c r="M973" s="42"/>
      <c r="N973" s="42"/>
      <c r="O973" s="1710" t="s">
        <v>676</v>
      </c>
      <c r="P973" s="1711"/>
      <c r="Q973" s="92"/>
      <c r="R973" s="92"/>
      <c r="S973" s="93"/>
      <c r="T973" s="41" t="s">
        <v>170</v>
      </c>
      <c r="U973" s="42"/>
      <c r="V973" s="42"/>
      <c r="W973" s="1666" t="s">
        <v>335</v>
      </c>
      <c r="X973" s="1667"/>
      <c r="Y973" s="1667"/>
      <c r="Z973" s="1667"/>
      <c r="AA973" s="1667"/>
      <c r="AB973" s="1667"/>
      <c r="AC973" s="1667"/>
      <c r="AD973" s="1667"/>
      <c r="AE973" s="1667"/>
      <c r="AF973" s="1667"/>
      <c r="AG973" s="166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05" customHeight="1">
      <c r="F974" s="1754" t="s">
        <v>33</v>
      </c>
      <c r="G974" s="1417"/>
      <c r="H974" s="1417"/>
      <c r="I974" s="1417"/>
      <c r="J974" s="1417"/>
      <c r="K974" s="1417"/>
      <c r="L974" s="1417"/>
      <c r="M974" s="1535"/>
      <c r="N974" s="1536"/>
      <c r="O974" s="1536"/>
      <c r="P974" s="1536"/>
      <c r="Q974" s="1536"/>
      <c r="R974" s="1536"/>
      <c r="S974" s="1537"/>
      <c r="T974" s="47"/>
      <c r="U974" s="48"/>
      <c r="V974" s="48"/>
      <c r="W974" s="48"/>
      <c r="X974" s="48"/>
      <c r="Y974" s="48"/>
      <c r="Z974" s="124" t="s">
        <v>134</v>
      </c>
      <c r="AA974" s="1760"/>
      <c r="AB974" s="1761"/>
      <c r="AC974" s="1761"/>
      <c r="AD974" s="1761"/>
      <c r="AE974" s="1761"/>
      <c r="AF974" s="1761"/>
      <c r="AG974" s="176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05" customHeight="1">
      <c r="AU975" s="68"/>
      <c r="AV975" s="68"/>
      <c r="AW975" s="68"/>
      <c r="AX975" s="68"/>
      <c r="AY975" s="68"/>
      <c r="AZ975" s="14"/>
      <c r="BA975" s="14"/>
      <c r="BB975" s="14"/>
      <c r="BC975" s="14"/>
      <c r="BD975" s="14"/>
      <c r="BE975" s="14"/>
      <c r="BF975" s="14"/>
      <c r="BG975" s="1674"/>
      <c r="BH975" s="1674"/>
      <c r="BI975" s="1674"/>
      <c r="BJ975" s="1674"/>
      <c r="BK975" s="1674"/>
      <c r="BL975" s="167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0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0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05" customHeight="1">
      <c r="A978" s="1434" t="s">
        <v>556</v>
      </c>
      <c r="B978" s="1434"/>
      <c r="C978" s="1434"/>
      <c r="D978" s="1434"/>
      <c r="E978" s="1434"/>
      <c r="F978" s="1434"/>
      <c r="G978" s="1434"/>
      <c r="H978" s="1434"/>
      <c r="I978" s="1434"/>
      <c r="J978" s="1434"/>
      <c r="K978" s="1434"/>
      <c r="L978" s="1434"/>
      <c r="M978" s="1434"/>
      <c r="N978" s="1434"/>
      <c r="O978" s="1434"/>
      <c r="P978" s="1434"/>
      <c r="Q978" s="1434"/>
      <c r="R978" s="1434"/>
      <c r="S978" s="1434"/>
      <c r="T978" s="1434"/>
      <c r="U978" s="1434"/>
      <c r="V978" s="1434"/>
      <c r="W978" s="1434"/>
      <c r="X978" s="1434"/>
      <c r="Y978" s="1434"/>
      <c r="Z978" s="1434"/>
      <c r="AA978" s="1434"/>
      <c r="AB978" s="1434"/>
      <c r="AC978" s="1434"/>
      <c r="AD978" s="1434"/>
      <c r="AE978" s="1434"/>
      <c r="AF978" s="1434"/>
      <c r="AG978" s="1434"/>
      <c r="AH978" s="1434"/>
      <c r="AI978" s="1434"/>
      <c r="AJ978" s="1434"/>
      <c r="AK978" s="1434"/>
      <c r="AL978" s="1434"/>
      <c r="AM978" s="1434"/>
      <c r="AN978" s="1434"/>
      <c r="AO978" s="1434"/>
      <c r="AP978" s="1434"/>
      <c r="AQ978" s="1434"/>
      <c r="AR978" s="1434"/>
      <c r="AS978" s="1434"/>
      <c r="AT978" s="1434"/>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05" customHeight="1">
      <c r="A979" s="1434"/>
      <c r="B979" s="1434"/>
      <c r="C979" s="1434"/>
      <c r="D979" s="1434"/>
      <c r="E979" s="1434"/>
      <c r="F979" s="1434"/>
      <c r="G979" s="1434"/>
      <c r="H979" s="1434"/>
      <c r="I979" s="1434"/>
      <c r="J979" s="1434"/>
      <c r="K979" s="1434"/>
      <c r="L979" s="1434"/>
      <c r="M979" s="1434"/>
      <c r="N979" s="1434"/>
      <c r="O979" s="1434"/>
      <c r="P979" s="1434"/>
      <c r="Q979" s="1434"/>
      <c r="R979" s="1434"/>
      <c r="S979" s="1434"/>
      <c r="T979" s="1434"/>
      <c r="U979" s="1434"/>
      <c r="V979" s="1434"/>
      <c r="W979" s="1434"/>
      <c r="X979" s="1434"/>
      <c r="Y979" s="1434"/>
      <c r="Z979" s="1434"/>
      <c r="AA979" s="1434"/>
      <c r="AB979" s="1434"/>
      <c r="AC979" s="1434"/>
      <c r="AD979" s="1434"/>
      <c r="AE979" s="1434"/>
      <c r="AF979" s="1434"/>
      <c r="AG979" s="1434"/>
      <c r="AH979" s="1434"/>
      <c r="AI979" s="1434"/>
      <c r="AJ979" s="1434"/>
      <c r="AK979" s="1434"/>
      <c r="AL979" s="1434"/>
      <c r="AM979" s="1434"/>
      <c r="AN979" s="1434"/>
      <c r="AO979" s="1434"/>
      <c r="AP979" s="1434"/>
      <c r="AQ979" s="1434"/>
      <c r="AR979" s="1434"/>
      <c r="AS979" s="1434"/>
      <c r="AT979" s="143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05" customHeight="1">
      <c r="A980" s="1434"/>
      <c r="B980" s="1434"/>
      <c r="C980" s="1434"/>
      <c r="D980" s="1434"/>
      <c r="E980" s="1434"/>
      <c r="F980" s="1434"/>
      <c r="G980" s="1434"/>
      <c r="H980" s="1434"/>
      <c r="I980" s="1434"/>
      <c r="J980" s="1434"/>
      <c r="K980" s="1434"/>
      <c r="L980" s="1434"/>
      <c r="M980" s="1434"/>
      <c r="N980" s="1434"/>
      <c r="O980" s="1434"/>
      <c r="P980" s="1434"/>
      <c r="Q980" s="1434"/>
      <c r="R980" s="1434"/>
      <c r="S980" s="1434"/>
      <c r="T980" s="1434"/>
      <c r="U980" s="1434"/>
      <c r="V980" s="1434"/>
      <c r="W980" s="1434"/>
      <c r="X980" s="1434"/>
      <c r="Y980" s="1434"/>
      <c r="Z980" s="1434"/>
      <c r="AA980" s="1434"/>
      <c r="AB980" s="1434"/>
      <c r="AC980" s="1434"/>
      <c r="AD980" s="1434"/>
      <c r="AE980" s="1434"/>
      <c r="AF980" s="1434"/>
      <c r="AG980" s="1434"/>
      <c r="AH980" s="1434"/>
      <c r="AI980" s="1434"/>
      <c r="AJ980" s="1434"/>
      <c r="AK980" s="1434"/>
      <c r="AL980" s="1434"/>
      <c r="AM980" s="1434"/>
      <c r="AN980" s="1434"/>
      <c r="AO980" s="1434"/>
      <c r="AP980" s="1434"/>
      <c r="AQ980" s="1434"/>
      <c r="AR980" s="1434"/>
      <c r="AS980" s="1434"/>
      <c r="AT980" s="143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0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0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0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05" customHeight="1">
      <c r="A984" s="67"/>
      <c r="B984" s="79"/>
      <c r="C984" s="963"/>
      <c r="D984" s="1547" t="s">
        <v>645</v>
      </c>
      <c r="E984" s="1548"/>
      <c r="F984" s="1548"/>
      <c r="G984" s="1548"/>
      <c r="H984" s="1548"/>
      <c r="I984" s="1548"/>
      <c r="J984" s="1548"/>
      <c r="K984" s="1548"/>
      <c r="L984" s="1548"/>
      <c r="M984" s="1548"/>
      <c r="N984" s="1548"/>
      <c r="O984" s="1548"/>
      <c r="P984" s="1548"/>
      <c r="Q984" s="1549"/>
      <c r="R984" s="1547" t="s">
        <v>646</v>
      </c>
      <c r="S984" s="1548"/>
      <c r="T984" s="1548"/>
      <c r="U984" s="1548"/>
      <c r="V984" s="1548"/>
      <c r="W984" s="1548"/>
      <c r="X984" s="1548"/>
      <c r="Y984" s="1548"/>
      <c r="Z984" s="1548"/>
      <c r="AA984" s="1549"/>
      <c r="AB984" s="1547" t="s">
        <v>647</v>
      </c>
      <c r="AC984" s="1548"/>
      <c r="AD984" s="1548"/>
      <c r="AE984" s="1548"/>
      <c r="AF984" s="1548"/>
      <c r="AG984" s="1548"/>
      <c r="AH984" s="1548"/>
      <c r="AI984" s="1549"/>
      <c r="AJ984" s="1547" t="s">
        <v>648</v>
      </c>
      <c r="AK984" s="1548"/>
      <c r="AL984" s="1548"/>
      <c r="AM984" s="1548"/>
      <c r="AN984" s="1548"/>
      <c r="AO984" s="1548"/>
      <c r="AP984" s="1548"/>
      <c r="AQ984" s="154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05" customHeight="1">
      <c r="A985" s="14"/>
      <c r="B985" s="73"/>
      <c r="C985" s="964"/>
      <c r="D985" s="1399" t="s">
        <v>640</v>
      </c>
      <c r="E985" s="1400"/>
      <c r="F985" s="1400"/>
      <c r="G985" s="1400"/>
      <c r="H985" s="1400"/>
      <c r="I985" s="1400"/>
      <c r="J985" s="1400"/>
      <c r="K985" s="1400"/>
      <c r="L985" s="1400"/>
      <c r="M985" s="1400"/>
      <c r="N985" s="1400"/>
      <c r="O985" s="1400"/>
      <c r="P985" s="1400"/>
      <c r="Q985" s="1401"/>
      <c r="R985" s="1599">
        <f>IF(ISNA(IF($BN$796="4%",(INDEX($BP$806:$BT$863,MATCH($CB$796,$BO$806:$BO$863,0),MATCH(D985,$BP$805:$BT$805,0))),(INDEX($BW$806:$CA$863,MATCH($CB$796,$BV$806:$BV$863,0),MATCH(D985,$BW$805:$CA$805,0))))),0,IF($BN$796="4%",(INDEX($BP$806:$BT$863,MATCH($CB$796,$BO$806:$BO$863,0),MATCH(D985,$BP$805:$BT$805,0))),(INDEX($BW$806:$CA$863,MATCH($CB$796,$BV$806:$BV$863,0),MATCH(D985,$BW$805:$CA$805,0)))))</f>
        <v>387110</v>
      </c>
      <c r="S985" s="1599"/>
      <c r="T985" s="1599"/>
      <c r="U985" s="1599"/>
      <c r="V985" s="1599"/>
      <c r="W985" s="1599"/>
      <c r="X985" s="1599"/>
      <c r="Y985" s="1599"/>
      <c r="Z985" s="1599"/>
      <c r="AA985" s="1599"/>
      <c r="AB985" s="1402">
        <f>BN660</f>
        <v>0</v>
      </c>
      <c r="AC985" s="1403"/>
      <c r="AD985" s="1403"/>
      <c r="AE985" s="1403"/>
      <c r="AF985" s="1403"/>
      <c r="AG985" s="1403"/>
      <c r="AH985" s="1403"/>
      <c r="AI985" s="1404"/>
      <c r="AJ985" s="1509">
        <f>IF(ISERROR((R985*AB985)),0,(R985*AB985))</f>
        <v>0</v>
      </c>
      <c r="AK985" s="1510"/>
      <c r="AL985" s="1510"/>
      <c r="AM985" s="1510"/>
      <c r="AN985" s="1510"/>
      <c r="AO985" s="1510"/>
      <c r="AP985" s="1510"/>
      <c r="AQ985" s="1511"/>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05" customHeight="1">
      <c r="A986" s="14"/>
      <c r="B986" s="73"/>
      <c r="C986" s="83"/>
      <c r="D986" s="1399" t="s">
        <v>326</v>
      </c>
      <c r="E986" s="1400"/>
      <c r="F986" s="1400"/>
      <c r="G986" s="1400"/>
      <c r="H986" s="1400"/>
      <c r="I986" s="1400"/>
      <c r="J986" s="1400"/>
      <c r="K986" s="1400"/>
      <c r="L986" s="1400"/>
      <c r="M986" s="1400"/>
      <c r="N986" s="1400"/>
      <c r="O986" s="1400"/>
      <c r="P986" s="1400"/>
      <c r="Q986" s="1401"/>
      <c r="R986" s="1599">
        <f>IF(ISNA(IF($BN$796="4%",(INDEX($BP$806:$BT$863,MATCH($CB$796,$BO$806:$BO$863,0),MATCH(D986,$BP$805:$BT$805,0))),(INDEX($BW$806:$CA$863,MATCH($CB$796,$BV$806:$BV$863,0),MATCH(D986,$BW$805:$CA$805,0))))),0,IF($BN$796="4%",(INDEX($BP$806:$BT$863,MATCH($CB$796,$BO$806:$BO$863,0),MATCH(D986,$BP$805:$BT$805,0))),(INDEX($BW$806:$CA$863,MATCH($CB$796,$BV$806:$BV$863,0),MATCH(D986,$BW$805:$CA$805,0)))))</f>
        <v>446334</v>
      </c>
      <c r="S986" s="1599"/>
      <c r="T986" s="1599"/>
      <c r="U986" s="1599"/>
      <c r="V986" s="1599"/>
      <c r="W986" s="1599"/>
      <c r="X986" s="1599"/>
      <c r="Y986" s="1599"/>
      <c r="Z986" s="1599"/>
      <c r="AA986" s="1599"/>
      <c r="AB986" s="1402">
        <f>BS660</f>
        <v>21</v>
      </c>
      <c r="AC986" s="1403"/>
      <c r="AD986" s="1403"/>
      <c r="AE986" s="1403"/>
      <c r="AF986" s="1403"/>
      <c r="AG986" s="1403"/>
      <c r="AH986" s="1403"/>
      <c r="AI986" s="1404"/>
      <c r="AJ986" s="1509">
        <f>IF(ISERROR((R986*AB986)),0,(R986*AB986))</f>
        <v>9373014</v>
      </c>
      <c r="AK986" s="1510"/>
      <c r="AL986" s="1510"/>
      <c r="AM986" s="1510"/>
      <c r="AN986" s="1510"/>
      <c r="AO986" s="1510"/>
      <c r="AP986" s="1510"/>
      <c r="AQ986" s="1511"/>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05" customHeight="1">
      <c r="A987" s="14"/>
      <c r="B987" s="73"/>
      <c r="C987" s="83"/>
      <c r="D987" s="1399" t="s">
        <v>163</v>
      </c>
      <c r="E987" s="1400"/>
      <c r="F987" s="1400"/>
      <c r="G987" s="1400"/>
      <c r="H987" s="1400"/>
      <c r="I987" s="1400"/>
      <c r="J987" s="1400"/>
      <c r="K987" s="1400"/>
      <c r="L987" s="1400"/>
      <c r="M987" s="1400"/>
      <c r="N987" s="1400"/>
      <c r="O987" s="1400"/>
      <c r="P987" s="1400"/>
      <c r="Q987" s="1401"/>
      <c r="R987" s="1599">
        <f>IF(ISNA(IF($BN$796="4%",(INDEX($BP$806:$BT$863,MATCH($CB$796,$BO$806:$BO$863,0),MATCH(D987,$BP$805:$BT$805,0))),(INDEX($BW$806:$CA$863,MATCH($CB$796,$BV$806:$BV$863,0),MATCH(D987,$BW$805:$CA$805,0))))),0,IF($BN$796="4%",(INDEX($BP$806:$BT$863,MATCH($CB$796,$BO$806:$BO$863,0),MATCH(D987,$BP$805:$BT$805,0))),(INDEX($BW$806:$CA$863,MATCH($CB$796,$BV$806:$BV$863,0),MATCH(D987,$BW$805:$CA$805,0)))))</f>
        <v>538400</v>
      </c>
      <c r="S987" s="1599"/>
      <c r="T987" s="1599"/>
      <c r="U987" s="1599"/>
      <c r="V987" s="1599"/>
      <c r="W987" s="1599"/>
      <c r="X987" s="1599"/>
      <c r="Y987" s="1599"/>
      <c r="Z987" s="1599"/>
      <c r="AA987" s="1599"/>
      <c r="AB987" s="1402">
        <f>BX660</f>
        <v>40</v>
      </c>
      <c r="AC987" s="1403"/>
      <c r="AD987" s="1403"/>
      <c r="AE987" s="1403"/>
      <c r="AF987" s="1403"/>
      <c r="AG987" s="1403"/>
      <c r="AH987" s="1403"/>
      <c r="AI987" s="1404"/>
      <c r="AJ987" s="1509">
        <f>IF(ISERROR((R987*AB987)),0,(R987*AB987))</f>
        <v>21536000</v>
      </c>
      <c r="AK987" s="1510"/>
      <c r="AL987" s="1510"/>
      <c r="AM987" s="1510"/>
      <c r="AN987" s="1510"/>
      <c r="AO987" s="1510"/>
      <c r="AP987" s="1510"/>
      <c r="AQ987" s="1511"/>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05" customHeight="1">
      <c r="A988" s="14"/>
      <c r="B988" s="73"/>
      <c r="C988" s="83"/>
      <c r="D988" s="1399" t="s">
        <v>164</v>
      </c>
      <c r="E988" s="1400"/>
      <c r="F988" s="1400"/>
      <c r="G988" s="1400"/>
      <c r="H988" s="1400"/>
      <c r="I988" s="1400"/>
      <c r="J988" s="1400"/>
      <c r="K988" s="1400"/>
      <c r="L988" s="1400"/>
      <c r="M988" s="1400"/>
      <c r="N988" s="1400"/>
      <c r="O988" s="1400"/>
      <c r="P988" s="1400"/>
      <c r="Q988" s="1401"/>
      <c r="R988" s="1599">
        <f>IF(ISNA(IF($BN$796="4%",(INDEX($BP$806:$BT$863,MATCH($CB$796,$BO$806:$BO$863,0),MATCH(D988,$BP$805:$BT$805,0))),(INDEX($BW$806:$CA$863,MATCH($CB$796,$BV$806:$BV$863,0),MATCH(D988,$BW$805:$CA$805,0))))),0,IF($BN$796="4%",(INDEX($BP$806:$BT$863,MATCH($CB$796,$BO$806:$BO$863,0),MATCH(D988,$BP$805:$BT$805,0))),(INDEX($BW$806:$CA$863,MATCH($CB$796,$BV$806:$BV$863,0),MATCH(D988,$BW$805:$CA$805,0)))))</f>
        <v>689152</v>
      </c>
      <c r="S988" s="1599"/>
      <c r="T988" s="1599"/>
      <c r="U988" s="1599"/>
      <c r="V988" s="1599"/>
      <c r="W988" s="1599"/>
      <c r="X988" s="1599"/>
      <c r="Y988" s="1599"/>
      <c r="Z988" s="1599"/>
      <c r="AA988" s="1599"/>
      <c r="AB988" s="1402">
        <f>CC660</f>
        <v>39</v>
      </c>
      <c r="AC988" s="1403"/>
      <c r="AD988" s="1403"/>
      <c r="AE988" s="1403"/>
      <c r="AF988" s="1403"/>
      <c r="AG988" s="1403"/>
      <c r="AH988" s="1403"/>
      <c r="AI988" s="1404"/>
      <c r="AJ988" s="1509">
        <f>IF(ISERROR((R988*AB988)),0,(R988*AB988))</f>
        <v>26876928</v>
      </c>
      <c r="AK988" s="1510"/>
      <c r="AL988" s="1510"/>
      <c r="AM988" s="1510"/>
      <c r="AN988" s="1510"/>
      <c r="AO988" s="1510"/>
      <c r="AP988" s="1510"/>
      <c r="AQ988" s="1511"/>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05" customHeight="1">
      <c r="A989" s="14"/>
      <c r="B989" s="47"/>
      <c r="C989" s="78"/>
      <c r="D989" s="1399" t="s">
        <v>468</v>
      </c>
      <c r="E989" s="1400"/>
      <c r="F989" s="1400"/>
      <c r="G989" s="1400"/>
      <c r="H989" s="1400"/>
      <c r="I989" s="1400"/>
      <c r="J989" s="1400"/>
      <c r="K989" s="1400"/>
      <c r="L989" s="1400"/>
      <c r="M989" s="1400"/>
      <c r="N989" s="1400"/>
      <c r="O989" s="1400"/>
      <c r="P989" s="1400"/>
      <c r="Q989" s="1401"/>
      <c r="R989" s="1599">
        <f>IF(ISNA(IF($BN$796="4%",(INDEX($BP$806:$BT$863,MATCH($CB$796,$BO$806:$BO$863,0),MATCH(D989,$BP$805:$BT$805,0))),(INDEX($BW$806:$CA$863,MATCH($CB$796,$BV$806:$BV$863,0),MATCH(D989,$BW$805:$CA$805,0))))),0,IF($BN$796="4%",(INDEX($BP$806:$BT$863,MATCH($CB$796,$BO$806:$BO$863,0),MATCH(D989,$BP$805:$BT$805,0))),(INDEX($BW$806:$CA$863,MATCH($CB$796,$BV$806:$BV$863,0),MATCH(D989,$BW$805:$CA$805,0)))))</f>
        <v>767758</v>
      </c>
      <c r="S989" s="1599"/>
      <c r="T989" s="1599"/>
      <c r="U989" s="1599"/>
      <c r="V989" s="1599"/>
      <c r="W989" s="1599"/>
      <c r="X989" s="1599"/>
      <c r="Y989" s="1599"/>
      <c r="Z989" s="1599"/>
      <c r="AA989" s="1599"/>
      <c r="AB989" s="1402">
        <f>CM660+CH660</f>
        <v>0</v>
      </c>
      <c r="AC989" s="1403"/>
      <c r="AD989" s="1403"/>
      <c r="AE989" s="1403"/>
      <c r="AF989" s="1403"/>
      <c r="AG989" s="1403"/>
      <c r="AH989" s="1403"/>
      <c r="AI989" s="1404"/>
      <c r="AJ989" s="1509">
        <f>IF(ISERROR((R989*AB989)),0,(R989*AB989))</f>
        <v>0</v>
      </c>
      <c r="AK989" s="1510"/>
      <c r="AL989" s="1510"/>
      <c r="AM989" s="1510"/>
      <c r="AN989" s="1510"/>
      <c r="AO989" s="1510"/>
      <c r="AP989" s="1510"/>
      <c r="AQ989" s="1511"/>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05" customHeight="1">
      <c r="A990" s="14"/>
      <c r="B990" s="1611" t="s">
        <v>799</v>
      </c>
      <c r="C990" s="1612"/>
      <c r="D990" s="1612"/>
      <c r="E990" s="1612"/>
      <c r="F990" s="1612"/>
      <c r="G990" s="1612"/>
      <c r="H990" s="1612"/>
      <c r="I990" s="1612"/>
      <c r="J990" s="1612"/>
      <c r="K990" s="1612"/>
      <c r="L990" s="1612"/>
      <c r="M990" s="1612"/>
      <c r="N990" s="1612"/>
      <c r="O990" s="1612"/>
      <c r="P990" s="1612"/>
      <c r="Q990" s="1612"/>
      <c r="R990" s="1612"/>
      <c r="S990" s="1612"/>
      <c r="T990" s="1612"/>
      <c r="U990" s="1612"/>
      <c r="V990" s="1612"/>
      <c r="W990" s="1612"/>
      <c r="X990" s="1612"/>
      <c r="Y990" s="1612"/>
      <c r="Z990" s="1612"/>
      <c r="AA990" s="1613"/>
      <c r="AB990" s="1402">
        <f>SUM(AB985:AI989)</f>
        <v>100</v>
      </c>
      <c r="AC990" s="1403"/>
      <c r="AD990" s="1403"/>
      <c r="AE990" s="1403"/>
      <c r="AF990" s="1403"/>
      <c r="AG990" s="1403"/>
      <c r="AH990" s="1403"/>
      <c r="AI990" s="1404"/>
      <c r="AJ990" s="1509"/>
      <c r="AK990" s="1510"/>
      <c r="AL990" s="1510"/>
      <c r="AM990" s="1510"/>
      <c r="AN990" s="1510"/>
      <c r="AO990" s="1510"/>
      <c r="AP990" s="1510"/>
      <c r="AQ990" s="1511"/>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05" customHeight="1">
      <c r="A991" s="14"/>
      <c r="B991" s="1596" t="s">
        <v>520</v>
      </c>
      <c r="C991" s="1597"/>
      <c r="D991" s="1597"/>
      <c r="E991" s="1597"/>
      <c r="F991" s="1597"/>
      <c r="G991" s="1597"/>
      <c r="H991" s="1597"/>
      <c r="I991" s="1597"/>
      <c r="J991" s="1597"/>
      <c r="K991" s="1597"/>
      <c r="L991" s="1597"/>
      <c r="M991" s="1597"/>
      <c r="N991" s="1597"/>
      <c r="O991" s="1597"/>
      <c r="P991" s="1597"/>
      <c r="Q991" s="1597"/>
      <c r="R991" s="1597"/>
      <c r="S991" s="1597"/>
      <c r="T991" s="1597"/>
      <c r="U991" s="1597"/>
      <c r="V991" s="1597"/>
      <c r="W991" s="1597"/>
      <c r="X991" s="1597"/>
      <c r="Y991" s="1597"/>
      <c r="Z991" s="1597"/>
      <c r="AA991" s="1597"/>
      <c r="AB991" s="1597"/>
      <c r="AC991" s="1597"/>
      <c r="AD991" s="1597"/>
      <c r="AE991" s="1597"/>
      <c r="AF991" s="1597"/>
      <c r="AG991" s="1597"/>
      <c r="AH991" s="1597"/>
      <c r="AI991" s="1598"/>
      <c r="AJ991" s="1509">
        <f>SUM(AJ985:AQ989)</f>
        <v>57785942</v>
      </c>
      <c r="AK991" s="1510"/>
      <c r="AL991" s="1510"/>
      <c r="AM991" s="1510"/>
      <c r="AN991" s="1510"/>
      <c r="AO991" s="1510"/>
      <c r="AP991" s="1510"/>
      <c r="AQ991" s="1511"/>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05" customHeight="1">
      <c r="A992" s="14"/>
      <c r="B992" s="1512"/>
      <c r="C992" s="1513"/>
      <c r="D992" s="1513"/>
      <c r="E992" s="1513"/>
      <c r="F992" s="1513"/>
      <c r="G992" s="1513"/>
      <c r="H992" s="1513"/>
      <c r="I992" s="1513"/>
      <c r="J992" s="1513"/>
      <c r="K992" s="1513"/>
      <c r="L992" s="1513"/>
      <c r="M992" s="1513"/>
      <c r="N992" s="1513"/>
      <c r="O992" s="1513"/>
      <c r="P992" s="1513"/>
      <c r="Q992" s="1513"/>
      <c r="R992" s="1513"/>
      <c r="S992" s="1513"/>
      <c r="T992" s="1513"/>
      <c r="U992" s="1513"/>
      <c r="V992" s="1513"/>
      <c r="W992" s="1513"/>
      <c r="X992" s="1513"/>
      <c r="Y992" s="1513"/>
      <c r="Z992" s="1513"/>
      <c r="AA992" s="1513"/>
      <c r="AB992" s="1513"/>
      <c r="AC992" s="1513"/>
      <c r="AD992" s="1513"/>
      <c r="AE992" s="1514"/>
      <c r="AF992" s="1518" t="s">
        <v>673</v>
      </c>
      <c r="AG992" s="1519"/>
      <c r="AH992" s="1519"/>
      <c r="AI992" s="1520"/>
      <c r="AJ992" s="1512"/>
      <c r="AK992" s="1513"/>
      <c r="AL992" s="1513"/>
      <c r="AM992" s="1513"/>
      <c r="AN992" s="1513"/>
      <c r="AO992" s="1513"/>
      <c r="AP992" s="1513"/>
      <c r="AQ992" s="151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05" customHeight="1">
      <c r="A993" s="14"/>
      <c r="B993" s="73"/>
      <c r="C993" s="962" t="s">
        <v>675</v>
      </c>
      <c r="D993" s="1525" t="s">
        <v>1325</v>
      </c>
      <c r="E993" s="1526"/>
      <c r="F993" s="1526"/>
      <c r="G993" s="1526"/>
      <c r="H993" s="1526"/>
      <c r="I993" s="1526"/>
      <c r="J993" s="1526"/>
      <c r="K993" s="1526"/>
      <c r="L993" s="1526"/>
      <c r="M993" s="1526"/>
      <c r="N993" s="1526"/>
      <c r="O993" s="1526"/>
      <c r="P993" s="1526"/>
      <c r="Q993" s="1526"/>
      <c r="R993" s="1526"/>
      <c r="S993" s="1526"/>
      <c r="T993" s="1526"/>
      <c r="U993" s="1526"/>
      <c r="V993" s="1526"/>
      <c r="W993" s="1526"/>
      <c r="X993" s="1526"/>
      <c r="Y993" s="1526"/>
      <c r="Z993" s="1526"/>
      <c r="AA993" s="1526"/>
      <c r="AB993" s="1526"/>
      <c r="AC993" s="1526"/>
      <c r="AD993" s="1526"/>
      <c r="AE993" s="1527"/>
      <c r="AF993" s="79"/>
      <c r="AG993" s="1521" t="s">
        <v>553</v>
      </c>
      <c r="AH993" s="1522"/>
      <c r="AI993" s="87"/>
      <c r="AJ993" s="1550">
        <f>ROUND(IF(AND(AG993="yes",D999&gt;0),AJ991*0.2,0),0)</f>
        <v>11557188</v>
      </c>
      <c r="AK993" s="1551"/>
      <c r="AL993" s="1551"/>
      <c r="AM993" s="1551"/>
      <c r="AN993" s="1551"/>
      <c r="AO993" s="1551"/>
      <c r="AP993" s="1551"/>
      <c r="AQ993" s="1552"/>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05" customHeight="1">
      <c r="A994" s="14"/>
      <c r="B994" s="277"/>
      <c r="C994" s="276"/>
      <c r="D994" s="1600" t="s">
        <v>2562</v>
      </c>
      <c r="E994" s="1601"/>
      <c r="F994" s="1601"/>
      <c r="G994" s="1601"/>
      <c r="H994" s="1601"/>
      <c r="I994" s="1601"/>
      <c r="J994" s="1601"/>
      <c r="K994" s="1601"/>
      <c r="L994" s="1601"/>
      <c r="M994" s="1601"/>
      <c r="N994" s="1601"/>
      <c r="O994" s="1601"/>
      <c r="P994" s="1601"/>
      <c r="Q994" s="1601"/>
      <c r="R994" s="1601"/>
      <c r="S994" s="1601"/>
      <c r="T994" s="1601"/>
      <c r="U994" s="1601"/>
      <c r="V994" s="1601"/>
      <c r="W994" s="1601"/>
      <c r="X994" s="1601"/>
      <c r="Y994" s="1601"/>
      <c r="Z994" s="1601"/>
      <c r="AA994" s="1601"/>
      <c r="AB994" s="1601"/>
      <c r="AC994" s="1601"/>
      <c r="AD994" s="1601"/>
      <c r="AE994" s="1602"/>
      <c r="AF994" s="73"/>
      <c r="AG994" s="14"/>
      <c r="AH994" s="14"/>
      <c r="AI994" s="83"/>
      <c r="AJ994" s="1553"/>
      <c r="AK994" s="1554"/>
      <c r="AL994" s="1554"/>
      <c r="AM994" s="1554"/>
      <c r="AN994" s="1554"/>
      <c r="AO994" s="1554"/>
      <c r="AP994" s="1554"/>
      <c r="AQ994" s="1555"/>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05" customHeight="1">
      <c r="A995" s="14"/>
      <c r="B995" s="277"/>
      <c r="C995" s="276"/>
      <c r="D995" s="1600"/>
      <c r="E995" s="1601"/>
      <c r="F995" s="1601"/>
      <c r="G995" s="1601"/>
      <c r="H995" s="1601"/>
      <c r="I995" s="1601"/>
      <c r="J995" s="1601"/>
      <c r="K995" s="1601"/>
      <c r="L995" s="1601"/>
      <c r="M995" s="1601"/>
      <c r="N995" s="1601"/>
      <c r="O995" s="1601"/>
      <c r="P995" s="1601"/>
      <c r="Q995" s="1601"/>
      <c r="R995" s="1601"/>
      <c r="S995" s="1601"/>
      <c r="T995" s="1601"/>
      <c r="U995" s="1601"/>
      <c r="V995" s="1601"/>
      <c r="W995" s="1601"/>
      <c r="X995" s="1601"/>
      <c r="Y995" s="1601"/>
      <c r="Z995" s="1601"/>
      <c r="AA995" s="1601"/>
      <c r="AB995" s="1601"/>
      <c r="AC995" s="1601"/>
      <c r="AD995" s="1601"/>
      <c r="AE995" s="1602"/>
      <c r="AF995" s="73"/>
      <c r="AG995" s="14"/>
      <c r="AH995" s="14"/>
      <c r="AI995" s="83"/>
      <c r="AJ995" s="1553"/>
      <c r="AK995" s="1554"/>
      <c r="AL995" s="1554"/>
      <c r="AM995" s="1554"/>
      <c r="AN995" s="1554"/>
      <c r="AO995" s="1554"/>
      <c r="AP995" s="1554"/>
      <c r="AQ995" s="1555"/>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05" customHeight="1">
      <c r="A996" s="14"/>
      <c r="B996" s="277"/>
      <c r="C996" s="276"/>
      <c r="D996" s="1600"/>
      <c r="E996" s="1601"/>
      <c r="F996" s="1601"/>
      <c r="G996" s="1601"/>
      <c r="H996" s="1601"/>
      <c r="I996" s="1601"/>
      <c r="J996" s="1601"/>
      <c r="K996" s="1601"/>
      <c r="L996" s="1601"/>
      <c r="M996" s="1601"/>
      <c r="N996" s="1601"/>
      <c r="O996" s="1601"/>
      <c r="P996" s="1601"/>
      <c r="Q996" s="1601"/>
      <c r="R996" s="1601"/>
      <c r="S996" s="1601"/>
      <c r="T996" s="1601"/>
      <c r="U996" s="1601"/>
      <c r="V996" s="1601"/>
      <c r="W996" s="1601"/>
      <c r="X996" s="1601"/>
      <c r="Y996" s="1601"/>
      <c r="Z996" s="1601"/>
      <c r="AA996" s="1601"/>
      <c r="AB996" s="1601"/>
      <c r="AC996" s="1601"/>
      <c r="AD996" s="1601"/>
      <c r="AE996" s="1602"/>
      <c r="AF996" s="73"/>
      <c r="AG996" s="14"/>
      <c r="AH996" s="14"/>
      <c r="AI996" s="83"/>
      <c r="AJ996" s="1553"/>
      <c r="AK996" s="1554"/>
      <c r="AL996" s="1554"/>
      <c r="AM996" s="1554"/>
      <c r="AN996" s="1554"/>
      <c r="AO996" s="1554"/>
      <c r="AP996" s="1554"/>
      <c r="AQ996" s="1555"/>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05" customHeight="1">
      <c r="A997" s="14"/>
      <c r="B997" s="277"/>
      <c r="C997" s="276"/>
      <c r="D997" s="1600"/>
      <c r="E997" s="1601"/>
      <c r="F997" s="1601"/>
      <c r="G997" s="1601"/>
      <c r="H997" s="1601"/>
      <c r="I997" s="1601"/>
      <c r="J997" s="1601"/>
      <c r="K997" s="1601"/>
      <c r="L997" s="1601"/>
      <c r="M997" s="1601"/>
      <c r="N997" s="1601"/>
      <c r="O997" s="1601"/>
      <c r="P997" s="1601"/>
      <c r="Q997" s="1601"/>
      <c r="R997" s="1601"/>
      <c r="S997" s="1601"/>
      <c r="T997" s="1601"/>
      <c r="U997" s="1601"/>
      <c r="V997" s="1601"/>
      <c r="W997" s="1601"/>
      <c r="X997" s="1601"/>
      <c r="Y997" s="1601"/>
      <c r="Z997" s="1601"/>
      <c r="AA997" s="1601"/>
      <c r="AB997" s="1601"/>
      <c r="AC997" s="1601"/>
      <c r="AD997" s="1601"/>
      <c r="AE997" s="1602"/>
      <c r="AF997" s="73"/>
      <c r="AG997" s="14"/>
      <c r="AH997" s="14"/>
      <c r="AI997" s="83"/>
      <c r="AJ997" s="1553"/>
      <c r="AK997" s="1554"/>
      <c r="AL997" s="1554"/>
      <c r="AM997" s="1554"/>
      <c r="AN997" s="1554"/>
      <c r="AO997" s="1554"/>
      <c r="AP997" s="1554"/>
      <c r="AQ997" s="1555"/>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05" customHeight="1">
      <c r="A998" s="14"/>
      <c r="B998" s="277"/>
      <c r="C998" s="276"/>
      <c r="D998" s="1603" t="s">
        <v>2563</v>
      </c>
      <c r="E998" s="1604"/>
      <c r="F998" s="1604"/>
      <c r="G998" s="1604"/>
      <c r="H998" s="1604"/>
      <c r="I998" s="1604"/>
      <c r="J998" s="1604"/>
      <c r="K998" s="1604"/>
      <c r="L998" s="1604"/>
      <c r="M998" s="1604"/>
      <c r="N998" s="1604"/>
      <c r="O998" s="1604"/>
      <c r="P998" s="1604"/>
      <c r="Q998" s="1604"/>
      <c r="R998" s="1604"/>
      <c r="S998" s="1604"/>
      <c r="T998" s="1604"/>
      <c r="U998" s="1604"/>
      <c r="V998" s="1604"/>
      <c r="W998" s="1604"/>
      <c r="X998" s="1604"/>
      <c r="Y998" s="1604"/>
      <c r="Z998" s="1604"/>
      <c r="AA998" s="1604"/>
      <c r="AB998" s="1604"/>
      <c r="AC998" s="1604"/>
      <c r="AD998" s="1604"/>
      <c r="AE998" s="1605"/>
      <c r="AF998" s="73"/>
      <c r="AG998" s="14"/>
      <c r="AH998" s="14"/>
      <c r="AI998" s="83"/>
      <c r="AJ998" s="1553"/>
      <c r="AK998" s="1554"/>
      <c r="AL998" s="1554"/>
      <c r="AM998" s="1554"/>
      <c r="AN998" s="1554"/>
      <c r="AO998" s="1554"/>
      <c r="AP998" s="1554"/>
      <c r="AQ998" s="1555"/>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05" customHeight="1">
      <c r="A999" s="14"/>
      <c r="B999" s="277"/>
      <c r="C999" s="276"/>
      <c r="D999" s="1614" t="s">
        <v>2761</v>
      </c>
      <c r="E999" s="1615"/>
      <c r="F999" s="1615"/>
      <c r="G999" s="1615"/>
      <c r="H999" s="1615"/>
      <c r="I999" s="1615"/>
      <c r="J999" s="1615"/>
      <c r="K999" s="1615"/>
      <c r="L999" s="1615"/>
      <c r="M999" s="1615"/>
      <c r="N999" s="1615"/>
      <c r="O999" s="1615"/>
      <c r="P999" s="1615"/>
      <c r="Q999" s="1615"/>
      <c r="R999" s="1615"/>
      <c r="S999" s="1615"/>
      <c r="T999" s="1615"/>
      <c r="U999" s="1615"/>
      <c r="V999" s="1615"/>
      <c r="W999" s="1615"/>
      <c r="X999" s="1615"/>
      <c r="Y999" s="1615"/>
      <c r="Z999" s="1615"/>
      <c r="AA999" s="1615"/>
      <c r="AB999" s="1615"/>
      <c r="AC999" s="1615"/>
      <c r="AD999" s="1615"/>
      <c r="AE999" s="1616"/>
      <c r="AF999" s="77"/>
      <c r="AG999" s="7"/>
      <c r="AH999" s="7"/>
      <c r="AI999" s="78"/>
      <c r="AJ999" s="1556"/>
      <c r="AK999" s="1557"/>
      <c r="AL999" s="1557"/>
      <c r="AM999" s="1557"/>
      <c r="AN999" s="1557"/>
      <c r="AO999" s="1557"/>
      <c r="AP999" s="1557"/>
      <c r="AQ999" s="1558"/>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05" customHeight="1">
      <c r="A1000" s="14"/>
      <c r="B1000" s="275"/>
      <c r="C1000" s="344"/>
      <c r="D1000" s="1515" t="s">
        <v>1393</v>
      </c>
      <c r="E1000" s="1516"/>
      <c r="F1000" s="1516"/>
      <c r="G1000" s="1516"/>
      <c r="H1000" s="1516"/>
      <c r="I1000" s="1516"/>
      <c r="J1000" s="1516"/>
      <c r="K1000" s="1516"/>
      <c r="L1000" s="1516"/>
      <c r="M1000" s="1516"/>
      <c r="N1000" s="1516"/>
      <c r="O1000" s="1516"/>
      <c r="P1000" s="1516"/>
      <c r="Q1000" s="1516"/>
      <c r="R1000" s="1516"/>
      <c r="S1000" s="1516"/>
      <c r="T1000" s="1516"/>
      <c r="U1000" s="1516"/>
      <c r="V1000" s="1516"/>
      <c r="W1000" s="1516"/>
      <c r="X1000" s="1516"/>
      <c r="Y1000" s="1516"/>
      <c r="Z1000" s="1516"/>
      <c r="AA1000" s="1516"/>
      <c r="AB1000" s="1516"/>
      <c r="AC1000" s="1516"/>
      <c r="AD1000" s="1516"/>
      <c r="AE1000" s="1517"/>
      <c r="AF1000" s="79"/>
      <c r="AG1000" s="1523" t="s">
        <v>676</v>
      </c>
      <c r="AH1000" s="1524"/>
      <c r="AI1000" s="87"/>
      <c r="AJ1000" s="1550">
        <f>ROUND(IF(AG1000="yes",AJ991*0.05,0),0)</f>
        <v>0</v>
      </c>
      <c r="AK1000" s="1551"/>
      <c r="AL1000" s="1551"/>
      <c r="AM1000" s="1551"/>
      <c r="AN1000" s="1551"/>
      <c r="AO1000" s="1551"/>
      <c r="AP1000" s="1551"/>
      <c r="AQ1000" s="1552"/>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05" customHeight="1">
      <c r="A1001" s="14"/>
      <c r="B1001" s="277"/>
      <c r="C1001" s="82"/>
      <c r="D1001" s="1600" t="s">
        <v>1391</v>
      </c>
      <c r="E1001" s="1601"/>
      <c r="F1001" s="1601"/>
      <c r="G1001" s="1601"/>
      <c r="H1001" s="1601"/>
      <c r="I1001" s="1601"/>
      <c r="J1001" s="1601"/>
      <c r="K1001" s="1601"/>
      <c r="L1001" s="1601"/>
      <c r="M1001" s="1601"/>
      <c r="N1001" s="1601"/>
      <c r="O1001" s="1601"/>
      <c r="P1001" s="1601"/>
      <c r="Q1001" s="1601"/>
      <c r="R1001" s="1601"/>
      <c r="S1001" s="1601"/>
      <c r="T1001" s="1601"/>
      <c r="U1001" s="1601"/>
      <c r="V1001" s="1601"/>
      <c r="W1001" s="1601"/>
      <c r="X1001" s="1601"/>
      <c r="Y1001" s="1601"/>
      <c r="Z1001" s="1601"/>
      <c r="AA1001" s="1601"/>
      <c r="AB1001" s="1601"/>
      <c r="AC1001" s="1601"/>
      <c r="AD1001" s="1601"/>
      <c r="AE1001" s="1602"/>
      <c r="AF1001" s="73"/>
      <c r="AG1001" s="14"/>
      <c r="AH1001" s="14"/>
      <c r="AI1001" s="83"/>
      <c r="AJ1001" s="1553"/>
      <c r="AK1001" s="1554"/>
      <c r="AL1001" s="1554"/>
      <c r="AM1001" s="1554"/>
      <c r="AN1001" s="1554"/>
      <c r="AO1001" s="1554"/>
      <c r="AP1001" s="1554"/>
      <c r="AQ1001" s="1555"/>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05" customHeight="1">
      <c r="A1002" s="14"/>
      <c r="B1002" s="277"/>
      <c r="C1002" s="82"/>
      <c r="D1002" s="1600"/>
      <c r="E1002" s="1601"/>
      <c r="F1002" s="1601"/>
      <c r="G1002" s="1601"/>
      <c r="H1002" s="1601"/>
      <c r="I1002" s="1601"/>
      <c r="J1002" s="1601"/>
      <c r="K1002" s="1601"/>
      <c r="L1002" s="1601"/>
      <c r="M1002" s="1601"/>
      <c r="N1002" s="1601"/>
      <c r="O1002" s="1601"/>
      <c r="P1002" s="1601"/>
      <c r="Q1002" s="1601"/>
      <c r="R1002" s="1601"/>
      <c r="S1002" s="1601"/>
      <c r="T1002" s="1601"/>
      <c r="U1002" s="1601"/>
      <c r="V1002" s="1601"/>
      <c r="W1002" s="1601"/>
      <c r="X1002" s="1601"/>
      <c r="Y1002" s="1601"/>
      <c r="Z1002" s="1601"/>
      <c r="AA1002" s="1601"/>
      <c r="AB1002" s="1601"/>
      <c r="AC1002" s="1601"/>
      <c r="AD1002" s="1601"/>
      <c r="AE1002" s="1602"/>
      <c r="AF1002" s="73"/>
      <c r="AG1002" s="14"/>
      <c r="AH1002" s="14"/>
      <c r="AI1002" s="83"/>
      <c r="AJ1002" s="1553"/>
      <c r="AK1002" s="1554"/>
      <c r="AL1002" s="1554"/>
      <c r="AM1002" s="1554"/>
      <c r="AN1002" s="1554"/>
      <c r="AO1002" s="1554"/>
      <c r="AP1002" s="1554"/>
      <c r="AQ1002" s="1555"/>
      <c r="AR1002" s="68"/>
      <c r="AS1002" s="68"/>
      <c r="AT1002" s="68"/>
      <c r="AU1002" s="68"/>
      <c r="AV1002" s="68"/>
      <c r="AW1002" s="68"/>
      <c r="AX1002" s="68"/>
      <c r="AY1002" s="949">
        <f>G753+O797</f>
        <v>99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05" customHeight="1">
      <c r="A1003" s="14"/>
      <c r="B1003" s="277"/>
      <c r="C1003" s="82"/>
      <c r="D1003" s="1600"/>
      <c r="E1003" s="1601"/>
      <c r="F1003" s="1601"/>
      <c r="G1003" s="1601"/>
      <c r="H1003" s="1601"/>
      <c r="I1003" s="1601"/>
      <c r="J1003" s="1601"/>
      <c r="K1003" s="1601"/>
      <c r="L1003" s="1601"/>
      <c r="M1003" s="1601"/>
      <c r="N1003" s="1601"/>
      <c r="O1003" s="1601"/>
      <c r="P1003" s="1601"/>
      <c r="Q1003" s="1601"/>
      <c r="R1003" s="1601"/>
      <c r="S1003" s="1601"/>
      <c r="T1003" s="1601"/>
      <c r="U1003" s="1601"/>
      <c r="V1003" s="1601"/>
      <c r="W1003" s="1601"/>
      <c r="X1003" s="1601"/>
      <c r="Y1003" s="1601"/>
      <c r="Z1003" s="1601"/>
      <c r="AA1003" s="1601"/>
      <c r="AB1003" s="1601"/>
      <c r="AC1003" s="1601"/>
      <c r="AD1003" s="1601"/>
      <c r="AE1003" s="1602"/>
      <c r="AF1003" s="73"/>
      <c r="AG1003" s="14"/>
      <c r="AH1003" s="14"/>
      <c r="AI1003" s="83"/>
      <c r="AJ1003" s="1553"/>
      <c r="AK1003" s="1554"/>
      <c r="AL1003" s="1554"/>
      <c r="AM1003" s="1554"/>
      <c r="AN1003" s="1554"/>
      <c r="AO1003" s="1554"/>
      <c r="AP1003" s="1554"/>
      <c r="AQ1003" s="1555"/>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05" customHeight="1">
      <c r="A1004" s="14"/>
      <c r="B1004" s="277"/>
      <c r="C1004" s="82"/>
      <c r="D1004" s="1600"/>
      <c r="E1004" s="1601"/>
      <c r="F1004" s="1601"/>
      <c r="G1004" s="1601"/>
      <c r="H1004" s="1601"/>
      <c r="I1004" s="1601"/>
      <c r="J1004" s="1601"/>
      <c r="K1004" s="1601"/>
      <c r="L1004" s="1601"/>
      <c r="M1004" s="1601"/>
      <c r="N1004" s="1601"/>
      <c r="O1004" s="1601"/>
      <c r="P1004" s="1601"/>
      <c r="Q1004" s="1601"/>
      <c r="R1004" s="1601"/>
      <c r="S1004" s="1601"/>
      <c r="T1004" s="1601"/>
      <c r="U1004" s="1601"/>
      <c r="V1004" s="1601"/>
      <c r="W1004" s="1601"/>
      <c r="X1004" s="1601"/>
      <c r="Y1004" s="1601"/>
      <c r="Z1004" s="1601"/>
      <c r="AA1004" s="1601"/>
      <c r="AB1004" s="1601"/>
      <c r="AC1004" s="1601"/>
      <c r="AD1004" s="1601"/>
      <c r="AE1004" s="1602"/>
      <c r="AF1004" s="73"/>
      <c r="AG1004" s="14"/>
      <c r="AH1004" s="14"/>
      <c r="AI1004" s="83"/>
      <c r="AJ1004" s="1553"/>
      <c r="AK1004" s="1554"/>
      <c r="AL1004" s="1554"/>
      <c r="AM1004" s="1554"/>
      <c r="AN1004" s="1554"/>
      <c r="AO1004" s="1554"/>
      <c r="AP1004" s="1554"/>
      <c r="AQ1004" s="1555"/>
      <c r="AR1004" s="68"/>
      <c r="AS1004" s="68"/>
      <c r="AT1004" s="68"/>
      <c r="AU1004" s="68"/>
      <c r="AV1004" s="68"/>
      <c r="AW1004" s="68"/>
      <c r="AX1004" s="68"/>
      <c r="AY1004" s="948">
        <f>ROUNDDOWN(X1047/I1047,2)</f>
        <v>0.21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05" customHeight="1">
      <c r="A1005" s="14"/>
      <c r="B1005" s="75"/>
      <c r="C1005" s="76"/>
      <c r="D1005" s="1603"/>
      <c r="E1005" s="1604"/>
      <c r="F1005" s="1604"/>
      <c r="G1005" s="1604"/>
      <c r="H1005" s="1604"/>
      <c r="I1005" s="1604"/>
      <c r="J1005" s="1604"/>
      <c r="K1005" s="1604"/>
      <c r="L1005" s="1604"/>
      <c r="M1005" s="1604"/>
      <c r="N1005" s="1604"/>
      <c r="O1005" s="1604"/>
      <c r="P1005" s="1604"/>
      <c r="Q1005" s="1604"/>
      <c r="R1005" s="1604"/>
      <c r="S1005" s="1604"/>
      <c r="T1005" s="1604"/>
      <c r="U1005" s="1604"/>
      <c r="V1005" s="1604"/>
      <c r="W1005" s="1604"/>
      <c r="X1005" s="1604"/>
      <c r="Y1005" s="1604"/>
      <c r="Z1005" s="1604"/>
      <c r="AA1005" s="1604"/>
      <c r="AB1005" s="1604"/>
      <c r="AC1005" s="1604"/>
      <c r="AD1005" s="1604"/>
      <c r="AE1005" s="1605"/>
      <c r="AF1005" s="77"/>
      <c r="AG1005" s="7"/>
      <c r="AH1005" s="7"/>
      <c r="AI1005" s="78"/>
      <c r="AJ1005" s="1556"/>
      <c r="AK1005" s="1557"/>
      <c r="AL1005" s="1557"/>
      <c r="AM1005" s="1557"/>
      <c r="AN1005" s="1557"/>
      <c r="AO1005" s="1557"/>
      <c r="AP1005" s="1557"/>
      <c r="AQ1005" s="1558"/>
      <c r="AR1005" s="68"/>
      <c r="AS1005" s="68"/>
      <c r="AT1005" s="68"/>
      <c r="AU1005" s="68"/>
      <c r="AV1005" s="68"/>
      <c r="AW1005" s="68"/>
      <c r="AX1005" s="68"/>
      <c r="AY1005" s="948">
        <f>ROUNDDOWN(X1051/I1051,2)</f>
        <v>0.22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05" customHeight="1">
      <c r="A1006" s="14"/>
      <c r="B1006" s="275"/>
      <c r="C1006" s="80" t="s">
        <v>679</v>
      </c>
      <c r="D1006" s="1515" t="s">
        <v>1870</v>
      </c>
      <c r="E1006" s="1516"/>
      <c r="F1006" s="1516"/>
      <c r="G1006" s="1516"/>
      <c r="H1006" s="1516"/>
      <c r="I1006" s="1516"/>
      <c r="J1006" s="1516"/>
      <c r="K1006" s="1516"/>
      <c r="L1006" s="1516"/>
      <c r="M1006" s="1516"/>
      <c r="N1006" s="1516"/>
      <c r="O1006" s="1516"/>
      <c r="P1006" s="1516"/>
      <c r="Q1006" s="1516"/>
      <c r="R1006" s="1516"/>
      <c r="S1006" s="1516"/>
      <c r="T1006" s="1516"/>
      <c r="U1006" s="1516"/>
      <c r="V1006" s="1516"/>
      <c r="W1006" s="1516"/>
      <c r="X1006" s="1516"/>
      <c r="Y1006" s="1516"/>
      <c r="Z1006" s="1516"/>
      <c r="AA1006" s="1516"/>
      <c r="AB1006" s="1516"/>
      <c r="AC1006" s="1516"/>
      <c r="AD1006" s="1516"/>
      <c r="AE1006" s="1517"/>
      <c r="AF1006" s="86"/>
      <c r="AG1006" s="1523" t="s">
        <v>676</v>
      </c>
      <c r="AH1006" s="1524"/>
      <c r="AI1006" s="87"/>
      <c r="AJ1006" s="1550">
        <f>ROUND(IF(AG1006="yes",AJ991*0.1,0),0)</f>
        <v>0</v>
      </c>
      <c r="AK1006" s="1551"/>
      <c r="AL1006" s="1551"/>
      <c r="AM1006" s="1551"/>
      <c r="AN1006" s="1551"/>
      <c r="AO1006" s="1551"/>
      <c r="AP1006" s="1551"/>
      <c r="AQ1006" s="1552"/>
      <c r="AR1006" s="68"/>
      <c r="AS1006" s="68"/>
      <c r="AT1006" s="68"/>
      <c r="AU1006" s="68"/>
      <c r="AV1006" s="68"/>
      <c r="AW1006" s="68"/>
      <c r="AX1006" s="68"/>
      <c r="BB1006" s="34"/>
      <c r="BD1006" s="34"/>
      <c r="BE1006" s="34"/>
      <c r="BF1006" s="34"/>
    </row>
    <row r="1007" spans="1:157" ht="13.05" customHeight="1">
      <c r="A1007" s="14"/>
      <c r="B1007" s="73"/>
      <c r="C1007" s="74"/>
      <c r="D1007" s="1503" t="s">
        <v>1392</v>
      </c>
      <c r="E1007" s="1504"/>
      <c r="F1007" s="1504"/>
      <c r="G1007" s="1504"/>
      <c r="H1007" s="1504"/>
      <c r="I1007" s="1504"/>
      <c r="J1007" s="1504"/>
      <c r="K1007" s="1504"/>
      <c r="L1007" s="1504"/>
      <c r="M1007" s="1504"/>
      <c r="N1007" s="1504"/>
      <c r="O1007" s="1504"/>
      <c r="P1007" s="1504"/>
      <c r="Q1007" s="1504"/>
      <c r="R1007" s="1504"/>
      <c r="S1007" s="1504"/>
      <c r="T1007" s="1504"/>
      <c r="U1007" s="1504"/>
      <c r="V1007" s="1504"/>
      <c r="W1007" s="1504"/>
      <c r="X1007" s="1504"/>
      <c r="Y1007" s="1504"/>
      <c r="Z1007" s="1504"/>
      <c r="AA1007" s="1504"/>
      <c r="AB1007" s="1504"/>
      <c r="AC1007" s="1504"/>
      <c r="AD1007" s="1504"/>
      <c r="AE1007" s="1505"/>
      <c r="AF1007" s="73"/>
      <c r="AI1007" s="83"/>
      <c r="AJ1007" s="1553"/>
      <c r="AK1007" s="1554"/>
      <c r="AL1007" s="1554"/>
      <c r="AM1007" s="1554"/>
      <c r="AN1007" s="1554"/>
      <c r="AO1007" s="1554"/>
      <c r="AP1007" s="1554"/>
      <c r="AQ1007" s="1555"/>
      <c r="AR1007" s="68"/>
      <c r="AS1007" s="68"/>
      <c r="AT1007" s="68"/>
      <c r="AU1007" s="68"/>
      <c r="AV1007" s="68"/>
      <c r="AW1007" s="68"/>
      <c r="AX1007" s="68"/>
    </row>
    <row r="1008" spans="1:157" ht="13.05" customHeight="1">
      <c r="A1008" s="14"/>
      <c r="B1008" s="73"/>
      <c r="C1008" s="74"/>
      <c r="D1008" s="1503"/>
      <c r="E1008" s="1504"/>
      <c r="F1008" s="1504"/>
      <c r="G1008" s="1504"/>
      <c r="H1008" s="1504"/>
      <c r="I1008" s="1504"/>
      <c r="J1008" s="1504"/>
      <c r="K1008" s="1504"/>
      <c r="L1008" s="1504"/>
      <c r="M1008" s="1504"/>
      <c r="N1008" s="1504"/>
      <c r="O1008" s="1504"/>
      <c r="P1008" s="1504"/>
      <c r="Q1008" s="1504"/>
      <c r="R1008" s="1504"/>
      <c r="S1008" s="1504"/>
      <c r="T1008" s="1504"/>
      <c r="U1008" s="1504"/>
      <c r="V1008" s="1504"/>
      <c r="W1008" s="1504"/>
      <c r="X1008" s="1504"/>
      <c r="Y1008" s="1504"/>
      <c r="Z1008" s="1504"/>
      <c r="AA1008" s="1504"/>
      <c r="AB1008" s="1504"/>
      <c r="AC1008" s="1504"/>
      <c r="AD1008" s="1504"/>
      <c r="AE1008" s="1505"/>
      <c r="AF1008" s="73"/>
      <c r="AG1008" s="14"/>
      <c r="AH1008" s="14"/>
      <c r="AI1008" s="83"/>
      <c r="AJ1008" s="1553"/>
      <c r="AK1008" s="1554"/>
      <c r="AL1008" s="1554"/>
      <c r="AM1008" s="1554"/>
      <c r="AN1008" s="1554"/>
      <c r="AO1008" s="1554"/>
      <c r="AP1008" s="1554"/>
      <c r="AQ1008" s="1555"/>
      <c r="AR1008" s="68"/>
      <c r="AS1008" s="68"/>
      <c r="AT1008" s="68"/>
      <c r="AU1008" s="68"/>
      <c r="AV1008" s="68"/>
      <c r="AW1008" s="68"/>
      <c r="AX1008" s="68"/>
    </row>
    <row r="1009" spans="1:51" ht="13.05" customHeight="1">
      <c r="A1009" s="14"/>
      <c r="B1009" s="85"/>
      <c r="C1009" s="76"/>
      <c r="D1009" s="1528"/>
      <c r="E1009" s="1529"/>
      <c r="F1009" s="1529"/>
      <c r="G1009" s="1529"/>
      <c r="H1009" s="1529"/>
      <c r="I1009" s="1529"/>
      <c r="J1009" s="1529"/>
      <c r="K1009" s="1529"/>
      <c r="L1009" s="1529"/>
      <c r="M1009" s="1529"/>
      <c r="N1009" s="1529"/>
      <c r="O1009" s="1529"/>
      <c r="P1009" s="1529"/>
      <c r="Q1009" s="1529"/>
      <c r="R1009" s="1529"/>
      <c r="S1009" s="1529"/>
      <c r="T1009" s="1529"/>
      <c r="U1009" s="1529"/>
      <c r="V1009" s="1529"/>
      <c r="W1009" s="1529"/>
      <c r="X1009" s="1529"/>
      <c r="Y1009" s="1529"/>
      <c r="Z1009" s="1529"/>
      <c r="AA1009" s="1529"/>
      <c r="AB1009" s="1529"/>
      <c r="AC1009" s="1529"/>
      <c r="AD1009" s="1529"/>
      <c r="AE1009" s="1530"/>
      <c r="AF1009" s="77"/>
      <c r="AG1009" s="7"/>
      <c r="AH1009" s="7"/>
      <c r="AI1009" s="78"/>
      <c r="AJ1009" s="1556"/>
      <c r="AK1009" s="1557"/>
      <c r="AL1009" s="1557"/>
      <c r="AM1009" s="1557"/>
      <c r="AN1009" s="1557"/>
      <c r="AO1009" s="1557"/>
      <c r="AP1009" s="1557"/>
      <c r="AQ1009" s="1558"/>
      <c r="AR1009" s="68"/>
      <c r="AS1009" s="68"/>
      <c r="AT1009" s="68"/>
      <c r="AU1009" s="68"/>
      <c r="AV1009" s="68"/>
      <c r="AW1009" s="68"/>
      <c r="AX1009" s="68"/>
    </row>
    <row r="1010" spans="1:51" ht="13.05" customHeight="1">
      <c r="A1010" s="14"/>
      <c r="B1010" s="79"/>
      <c r="C1010" s="80" t="s">
        <v>213</v>
      </c>
      <c r="D1010" s="1515" t="s">
        <v>1394</v>
      </c>
      <c r="E1010" s="1516"/>
      <c r="F1010" s="1516"/>
      <c r="G1010" s="1516"/>
      <c r="H1010" s="1516"/>
      <c r="I1010" s="1516"/>
      <c r="J1010" s="1516"/>
      <c r="K1010" s="1516"/>
      <c r="L1010" s="1516"/>
      <c r="M1010" s="1516"/>
      <c r="N1010" s="1516"/>
      <c r="O1010" s="1516"/>
      <c r="P1010" s="1516"/>
      <c r="Q1010" s="1516"/>
      <c r="R1010" s="1516"/>
      <c r="S1010" s="1516"/>
      <c r="T1010" s="1516"/>
      <c r="U1010" s="1516"/>
      <c r="V1010" s="1516"/>
      <c r="W1010" s="1516"/>
      <c r="X1010" s="1516"/>
      <c r="Y1010" s="1516"/>
      <c r="Z1010" s="1516"/>
      <c r="AA1010" s="1516"/>
      <c r="AB1010" s="1516"/>
      <c r="AC1010" s="1516"/>
      <c r="AD1010" s="1516"/>
      <c r="AE1010" s="1517"/>
      <c r="AF1010" s="79"/>
      <c r="AG1010" s="1523" t="s">
        <v>676</v>
      </c>
      <c r="AH1010" s="1524"/>
      <c r="AI1010" s="87"/>
      <c r="AJ1010" s="1550">
        <f>ROUND(IF(AG1010="yes",AJ991*0.02,0),0)</f>
        <v>0</v>
      </c>
      <c r="AK1010" s="1551"/>
      <c r="AL1010" s="1551"/>
      <c r="AM1010" s="1551"/>
      <c r="AN1010" s="1551"/>
      <c r="AO1010" s="1551"/>
      <c r="AP1010" s="1551"/>
      <c r="AQ1010" s="1552"/>
      <c r="AR1010" s="68"/>
      <c r="AS1010" s="68"/>
      <c r="AT1010" s="68"/>
      <c r="AU1010" s="68"/>
      <c r="AV1010" s="68"/>
      <c r="AW1010" s="68"/>
      <c r="AX1010" s="68"/>
      <c r="AY1010" s="215">
        <f>IF(SUM(AY1012:AY1020)&lt;=0.1,SUM(AY1012:AY1020),0.1)</f>
        <v>0</v>
      </c>
    </row>
    <row r="1011" spans="1:51" ht="14.25" customHeight="1">
      <c r="A1011" s="14"/>
      <c r="B1011" s="73"/>
      <c r="C1011" s="74"/>
      <c r="D1011" s="1528" t="s">
        <v>1395</v>
      </c>
      <c r="E1011" s="1529"/>
      <c r="F1011" s="1529"/>
      <c r="G1011" s="1529"/>
      <c r="H1011" s="1529"/>
      <c r="I1011" s="1529"/>
      <c r="J1011" s="1529"/>
      <c r="K1011" s="1529"/>
      <c r="L1011" s="1529"/>
      <c r="M1011" s="1529"/>
      <c r="N1011" s="1529"/>
      <c r="O1011" s="1529"/>
      <c r="P1011" s="1529"/>
      <c r="Q1011" s="1529"/>
      <c r="R1011" s="1529"/>
      <c r="S1011" s="1529"/>
      <c r="T1011" s="1529"/>
      <c r="U1011" s="1529"/>
      <c r="V1011" s="1529"/>
      <c r="W1011" s="1529"/>
      <c r="X1011" s="1529"/>
      <c r="Y1011" s="1529"/>
      <c r="Z1011" s="1529"/>
      <c r="AA1011" s="1529"/>
      <c r="AB1011" s="1529"/>
      <c r="AC1011" s="1529"/>
      <c r="AD1011" s="1529"/>
      <c r="AE1011" s="1530"/>
      <c r="AF1011" s="77"/>
      <c r="AG1011" s="7"/>
      <c r="AH1011" s="7"/>
      <c r="AI1011" s="78"/>
      <c r="AJ1011" s="1556"/>
      <c r="AK1011" s="1557"/>
      <c r="AL1011" s="1557"/>
      <c r="AM1011" s="1557"/>
      <c r="AN1011" s="1557"/>
      <c r="AO1011" s="1557"/>
      <c r="AP1011" s="1557"/>
      <c r="AQ1011" s="1558"/>
      <c r="AR1011" s="68"/>
      <c r="AS1011" s="68"/>
      <c r="AT1011" s="68"/>
      <c r="AU1011" s="68"/>
      <c r="AV1011" s="68"/>
      <c r="AW1011" s="68"/>
      <c r="AX1011" s="68"/>
    </row>
    <row r="1012" spans="1:51" ht="13.05" customHeight="1">
      <c r="A1012" s="14"/>
      <c r="B1012" s="79"/>
      <c r="C1012" s="80" t="s">
        <v>216</v>
      </c>
      <c r="D1012" s="1515" t="s">
        <v>1396</v>
      </c>
      <c r="E1012" s="1516"/>
      <c r="F1012" s="1516"/>
      <c r="G1012" s="1516"/>
      <c r="H1012" s="1516"/>
      <c r="I1012" s="1516"/>
      <c r="J1012" s="1516"/>
      <c r="K1012" s="1516"/>
      <c r="L1012" s="1516"/>
      <c r="M1012" s="1516"/>
      <c r="N1012" s="1516"/>
      <c r="O1012" s="1516"/>
      <c r="P1012" s="1516"/>
      <c r="Q1012" s="1516"/>
      <c r="R1012" s="1516"/>
      <c r="S1012" s="1516"/>
      <c r="T1012" s="1516"/>
      <c r="U1012" s="1516"/>
      <c r="V1012" s="1516"/>
      <c r="W1012" s="1516"/>
      <c r="X1012" s="1516"/>
      <c r="Y1012" s="1516"/>
      <c r="Z1012" s="1516"/>
      <c r="AA1012" s="1516"/>
      <c r="AB1012" s="1516"/>
      <c r="AC1012" s="1516"/>
      <c r="AD1012" s="1516"/>
      <c r="AE1012" s="1517"/>
      <c r="AF1012" s="79"/>
      <c r="AG1012" s="1523" t="s">
        <v>676</v>
      </c>
      <c r="AH1012" s="1524"/>
      <c r="AI1012" s="79"/>
      <c r="AJ1012" s="1550">
        <f>ROUND(IF(AG1012="yes",AJ991*0.02,0),0)</f>
        <v>0</v>
      </c>
      <c r="AK1012" s="1551"/>
      <c r="AL1012" s="1551"/>
      <c r="AM1012" s="1551"/>
      <c r="AN1012" s="1551"/>
      <c r="AO1012" s="1551"/>
      <c r="AP1012" s="1551"/>
      <c r="AQ1012" s="1552"/>
      <c r="AR1012" s="68"/>
      <c r="AS1012" s="68"/>
      <c r="AT1012" s="68"/>
      <c r="AU1012" s="68"/>
      <c r="AV1012" s="68"/>
      <c r="AW1012" s="68"/>
      <c r="AX1012" s="68"/>
      <c r="AY1012" s="213">
        <f>IF(A1064="Yes",0.05,0)</f>
        <v>0</v>
      </c>
    </row>
    <row r="1013" spans="1:51" ht="13.05" customHeight="1">
      <c r="A1013" s="14"/>
      <c r="B1013" s="73"/>
      <c r="C1013" s="74"/>
      <c r="D1013" s="1503" t="s">
        <v>1397</v>
      </c>
      <c r="E1013" s="1504"/>
      <c r="F1013" s="1504"/>
      <c r="G1013" s="1504"/>
      <c r="H1013" s="1504"/>
      <c r="I1013" s="1504"/>
      <c r="J1013" s="1504"/>
      <c r="K1013" s="1504"/>
      <c r="L1013" s="1504"/>
      <c r="M1013" s="1504"/>
      <c r="N1013" s="1504"/>
      <c r="O1013" s="1504"/>
      <c r="P1013" s="1504"/>
      <c r="Q1013" s="1504"/>
      <c r="R1013" s="1504"/>
      <c r="S1013" s="1504"/>
      <c r="T1013" s="1504"/>
      <c r="U1013" s="1504"/>
      <c r="V1013" s="1504"/>
      <c r="W1013" s="1504"/>
      <c r="X1013" s="1504"/>
      <c r="Y1013" s="1504"/>
      <c r="Z1013" s="1504"/>
      <c r="AA1013" s="1504"/>
      <c r="AB1013" s="1504"/>
      <c r="AC1013" s="1504"/>
      <c r="AD1013" s="1504"/>
      <c r="AE1013" s="1505"/>
      <c r="AF1013" s="1392" t="str">
        <f>IF(AND(AG1012="yes",AB212&lt;&gt;1),"The project may not be eligible for this boost","")</f>
        <v/>
      </c>
      <c r="AG1013" s="1393"/>
      <c r="AH1013" s="1393"/>
      <c r="AI1013" s="1394"/>
      <c r="AJ1013" s="1553"/>
      <c r="AK1013" s="1554"/>
      <c r="AL1013" s="1554"/>
      <c r="AM1013" s="1554"/>
      <c r="AN1013" s="1554"/>
      <c r="AO1013" s="1554"/>
      <c r="AP1013" s="1554"/>
      <c r="AQ1013" s="1555"/>
      <c r="AR1013" s="68"/>
      <c r="AS1013" s="68"/>
      <c r="AT1013" s="68"/>
      <c r="AU1013" s="68"/>
      <c r="AV1013" s="68"/>
      <c r="AW1013" s="68"/>
      <c r="AX1013" s="68"/>
      <c r="AY1013" s="213">
        <f>IF(A1070="Yes",0.02,0)</f>
        <v>0</v>
      </c>
    </row>
    <row r="1014" spans="1:51" ht="13.05" customHeight="1">
      <c r="A1014" s="14"/>
      <c r="B1014" s="75"/>
      <c r="C1014" s="76"/>
      <c r="D1014" s="1528"/>
      <c r="E1014" s="1529"/>
      <c r="F1014" s="1529"/>
      <c r="G1014" s="1529"/>
      <c r="H1014" s="1529"/>
      <c r="I1014" s="1529"/>
      <c r="J1014" s="1529"/>
      <c r="K1014" s="1529"/>
      <c r="L1014" s="1529"/>
      <c r="M1014" s="1529"/>
      <c r="N1014" s="1529"/>
      <c r="O1014" s="1529"/>
      <c r="P1014" s="1529"/>
      <c r="Q1014" s="1529"/>
      <c r="R1014" s="1529"/>
      <c r="S1014" s="1529"/>
      <c r="T1014" s="1529"/>
      <c r="U1014" s="1529"/>
      <c r="V1014" s="1529"/>
      <c r="W1014" s="1529"/>
      <c r="X1014" s="1529"/>
      <c r="Y1014" s="1529"/>
      <c r="Z1014" s="1529"/>
      <c r="AA1014" s="1529"/>
      <c r="AB1014" s="1529"/>
      <c r="AC1014" s="1529"/>
      <c r="AD1014" s="1529"/>
      <c r="AE1014" s="1530"/>
      <c r="AF1014" s="1395"/>
      <c r="AG1014" s="1396"/>
      <c r="AH1014" s="1396"/>
      <c r="AI1014" s="1397"/>
      <c r="AJ1014" s="1556"/>
      <c r="AK1014" s="1557"/>
      <c r="AL1014" s="1557"/>
      <c r="AM1014" s="1557"/>
      <c r="AN1014" s="1557"/>
      <c r="AO1014" s="1557"/>
      <c r="AP1014" s="1557"/>
      <c r="AQ1014" s="1558"/>
      <c r="AR1014" s="68"/>
      <c r="AS1014" s="68"/>
      <c r="AT1014" s="68"/>
      <c r="AU1014" s="68"/>
      <c r="AV1014" s="68"/>
      <c r="AW1014" s="68"/>
      <c r="AX1014" s="68"/>
      <c r="AY1014" s="213">
        <f>IF(A1076="Yes",0.04,0)</f>
        <v>0</v>
      </c>
    </row>
    <row r="1015" spans="1:51" ht="13.05" customHeight="1">
      <c r="A1015" s="14"/>
      <c r="B1015" s="79"/>
      <c r="C1015" s="80" t="s">
        <v>219</v>
      </c>
      <c r="D1015" s="1525" t="s">
        <v>1398</v>
      </c>
      <c r="E1015" s="1526"/>
      <c r="F1015" s="1526"/>
      <c r="G1015" s="1526"/>
      <c r="H1015" s="1526"/>
      <c r="I1015" s="1526"/>
      <c r="J1015" s="1526"/>
      <c r="K1015" s="1526"/>
      <c r="L1015" s="1526"/>
      <c r="M1015" s="1526"/>
      <c r="N1015" s="1526"/>
      <c r="O1015" s="1526"/>
      <c r="P1015" s="1526"/>
      <c r="Q1015" s="1526"/>
      <c r="R1015" s="1526"/>
      <c r="S1015" s="1526"/>
      <c r="T1015" s="1526"/>
      <c r="U1015" s="1526"/>
      <c r="V1015" s="1526"/>
      <c r="W1015" s="1526"/>
      <c r="X1015" s="1526"/>
      <c r="Y1015" s="1526"/>
      <c r="Z1015" s="1526"/>
      <c r="AA1015" s="1526"/>
      <c r="AB1015" s="1526"/>
      <c r="AC1015" s="1526"/>
      <c r="AD1015" s="1526"/>
      <c r="AE1015" s="1527"/>
      <c r="AF1015" s="79"/>
      <c r="AG1015" s="1523" t="s">
        <v>676</v>
      </c>
      <c r="AH1015" s="1524"/>
      <c r="AI1015" s="87"/>
      <c r="AJ1015" s="1550">
        <f>IF(AG1015="yes",AJ991*AY1010,0)</f>
        <v>0</v>
      </c>
      <c r="AK1015" s="1551"/>
      <c r="AL1015" s="1551"/>
      <c r="AM1015" s="1551"/>
      <c r="AN1015" s="1551"/>
      <c r="AO1015" s="1551"/>
      <c r="AP1015" s="1551"/>
      <c r="AQ1015" s="1552"/>
      <c r="AR1015" s="68"/>
      <c r="AS1015" s="68"/>
      <c r="AT1015" s="68"/>
      <c r="AU1015" s="68"/>
      <c r="AV1015" s="68"/>
      <c r="AW1015" s="68"/>
      <c r="AX1015" s="68"/>
      <c r="AY1015" s="213">
        <f>IF(A1083="Yes",0.04,0)</f>
        <v>0</v>
      </c>
    </row>
    <row r="1016" spans="1:51" ht="13.05" customHeight="1">
      <c r="A1016" s="14"/>
      <c r="B1016" s="73"/>
      <c r="C1016" s="74"/>
      <c r="D1016" s="1503" t="s">
        <v>1399</v>
      </c>
      <c r="E1016" s="1504"/>
      <c r="F1016" s="1504"/>
      <c r="G1016" s="1504"/>
      <c r="H1016" s="1504"/>
      <c r="I1016" s="1504"/>
      <c r="J1016" s="1504"/>
      <c r="K1016" s="1504"/>
      <c r="L1016" s="1504"/>
      <c r="M1016" s="1504"/>
      <c r="N1016" s="1504"/>
      <c r="O1016" s="1504"/>
      <c r="P1016" s="1504"/>
      <c r="Q1016" s="1504"/>
      <c r="R1016" s="1504"/>
      <c r="S1016" s="1504"/>
      <c r="T1016" s="1504"/>
      <c r="U1016" s="1504"/>
      <c r="V1016" s="1504"/>
      <c r="W1016" s="1504"/>
      <c r="X1016" s="1504"/>
      <c r="Y1016" s="1504"/>
      <c r="Z1016" s="1504"/>
      <c r="AA1016" s="1504"/>
      <c r="AB1016" s="1504"/>
      <c r="AC1016" s="1504"/>
      <c r="AD1016" s="1504"/>
      <c r="AE1016" s="1505"/>
      <c r="AF1016" s="1386" t="str">
        <f>IF(AND(AG1015="Yes",AY1010=0),AY1022,"")</f>
        <v/>
      </c>
      <c r="AG1016" s="1387"/>
      <c r="AH1016" s="1387"/>
      <c r="AI1016" s="1388"/>
      <c r="AJ1016" s="1553"/>
      <c r="AK1016" s="1554"/>
      <c r="AL1016" s="1554"/>
      <c r="AM1016" s="1554"/>
      <c r="AN1016" s="1554"/>
      <c r="AO1016" s="1554"/>
      <c r="AP1016" s="1554"/>
      <c r="AQ1016" s="1555"/>
      <c r="AR1016" s="68"/>
      <c r="AS1016" s="68"/>
      <c r="AT1016" s="68"/>
      <c r="AU1016" s="68"/>
      <c r="AV1016" s="68"/>
      <c r="AW1016" s="68"/>
      <c r="AX1016" s="68"/>
      <c r="AY1016" s="213">
        <f>IF(A1086="Yes",0.01,0)</f>
        <v>0</v>
      </c>
    </row>
    <row r="1017" spans="1:51" ht="13.05" customHeight="1">
      <c r="A1017" s="14"/>
      <c r="B1017" s="73"/>
      <c r="C1017" s="74"/>
      <c r="D1017" s="1503"/>
      <c r="E1017" s="1504"/>
      <c r="F1017" s="1504"/>
      <c r="G1017" s="1504"/>
      <c r="H1017" s="1504"/>
      <c r="I1017" s="1504"/>
      <c r="J1017" s="1504"/>
      <c r="K1017" s="1504"/>
      <c r="L1017" s="1504"/>
      <c r="M1017" s="1504"/>
      <c r="N1017" s="1504"/>
      <c r="O1017" s="1504"/>
      <c r="P1017" s="1504"/>
      <c r="Q1017" s="1504"/>
      <c r="R1017" s="1504"/>
      <c r="S1017" s="1504"/>
      <c r="T1017" s="1504"/>
      <c r="U1017" s="1504"/>
      <c r="V1017" s="1504"/>
      <c r="W1017" s="1504"/>
      <c r="X1017" s="1504"/>
      <c r="Y1017" s="1504"/>
      <c r="Z1017" s="1504"/>
      <c r="AA1017" s="1504"/>
      <c r="AB1017" s="1504"/>
      <c r="AC1017" s="1504"/>
      <c r="AD1017" s="1504"/>
      <c r="AE1017" s="1505"/>
      <c r="AF1017" s="1386"/>
      <c r="AG1017" s="1387"/>
      <c r="AH1017" s="1387"/>
      <c r="AI1017" s="1388"/>
      <c r="AJ1017" s="1553"/>
      <c r="AK1017" s="1554"/>
      <c r="AL1017" s="1554"/>
      <c r="AM1017" s="1554"/>
      <c r="AN1017" s="1554"/>
      <c r="AO1017" s="1554"/>
      <c r="AP1017" s="1554"/>
      <c r="AQ1017" s="1555"/>
      <c r="AR1017" s="68"/>
      <c r="AS1017" s="68"/>
      <c r="AT1017" s="68"/>
      <c r="AU1017" s="68"/>
      <c r="AV1017" s="68"/>
      <c r="AW1017" s="68"/>
      <c r="AX1017" s="68"/>
      <c r="AY1017" s="213">
        <f>IF(A1091="Yes",0.01,0)</f>
        <v>0</v>
      </c>
    </row>
    <row r="1018" spans="1:51" ht="13.05" customHeight="1">
      <c r="A1018" s="14"/>
      <c r="B1018" s="81"/>
      <c r="C1018" s="82"/>
      <c r="D1018" s="1528"/>
      <c r="E1018" s="1529"/>
      <c r="F1018" s="1529"/>
      <c r="G1018" s="1529"/>
      <c r="H1018" s="1529"/>
      <c r="I1018" s="1529"/>
      <c r="J1018" s="1529"/>
      <c r="K1018" s="1529"/>
      <c r="L1018" s="1529"/>
      <c r="M1018" s="1529"/>
      <c r="N1018" s="1529"/>
      <c r="O1018" s="1529"/>
      <c r="P1018" s="1529"/>
      <c r="Q1018" s="1529"/>
      <c r="R1018" s="1529"/>
      <c r="S1018" s="1529"/>
      <c r="T1018" s="1529"/>
      <c r="U1018" s="1529"/>
      <c r="V1018" s="1529"/>
      <c r="W1018" s="1529"/>
      <c r="X1018" s="1529"/>
      <c r="Y1018" s="1529"/>
      <c r="Z1018" s="1529"/>
      <c r="AA1018" s="1529"/>
      <c r="AB1018" s="1529"/>
      <c r="AC1018" s="1529"/>
      <c r="AD1018" s="1529"/>
      <c r="AE1018" s="1530"/>
      <c r="AF1018" s="1389"/>
      <c r="AG1018" s="1390"/>
      <c r="AH1018" s="1390"/>
      <c r="AI1018" s="1391"/>
      <c r="AJ1018" s="1556"/>
      <c r="AK1018" s="1557"/>
      <c r="AL1018" s="1557"/>
      <c r="AM1018" s="1557"/>
      <c r="AN1018" s="1557"/>
      <c r="AO1018" s="1557"/>
      <c r="AP1018" s="1557"/>
      <c r="AQ1018" s="1558"/>
      <c r="AR1018" s="68"/>
      <c r="AS1018" s="68"/>
      <c r="AT1018" s="68"/>
      <c r="AU1018" s="68"/>
      <c r="AV1018" s="68"/>
      <c r="AW1018" s="68"/>
      <c r="AX1018" s="68"/>
      <c r="AY1018" s="213">
        <f>IF(A1094="Yes",0.01,0)</f>
        <v>0</v>
      </c>
    </row>
    <row r="1019" spans="1:51" ht="13.05" customHeight="1">
      <c r="A1019" s="14"/>
      <c r="B1019" s="79"/>
      <c r="C1019" s="80" t="s">
        <v>224</v>
      </c>
      <c r="D1019" s="1575" t="s">
        <v>1400</v>
      </c>
      <c r="E1019" s="1576"/>
      <c r="F1019" s="1576"/>
      <c r="G1019" s="1576"/>
      <c r="H1019" s="1576"/>
      <c r="I1019" s="1576"/>
      <c r="J1019" s="1576"/>
      <c r="K1019" s="1576"/>
      <c r="L1019" s="1576"/>
      <c r="M1019" s="1576"/>
      <c r="N1019" s="1576"/>
      <c r="O1019" s="1576"/>
      <c r="P1019" s="1576"/>
      <c r="Q1019" s="1576"/>
      <c r="R1019" s="1576"/>
      <c r="S1019" s="1576"/>
      <c r="T1019" s="1576"/>
      <c r="U1019" s="1576"/>
      <c r="V1019" s="1576"/>
      <c r="W1019" s="1576"/>
      <c r="X1019" s="1576"/>
      <c r="Y1019" s="1576"/>
      <c r="Z1019" s="1576"/>
      <c r="AA1019" s="1576"/>
      <c r="AB1019" s="1576"/>
      <c r="AC1019" s="1576"/>
      <c r="AD1019" s="1576"/>
      <c r="AE1019" s="1577"/>
      <c r="AF1019" s="79"/>
      <c r="AG1019" s="1523" t="s">
        <v>676</v>
      </c>
      <c r="AH1019" s="1524"/>
      <c r="AI1019" s="87"/>
      <c r="AJ1019" s="1550">
        <f>ROUND(IF(AND(AG1019="Yes",J1023&lt;&gt;"N/A",AF1022&lt;&gt;""),MIN(AF1022,(0.15*AJ991)),0),0)</f>
        <v>0</v>
      </c>
      <c r="AK1019" s="1551"/>
      <c r="AL1019" s="1551"/>
      <c r="AM1019" s="1551"/>
      <c r="AN1019" s="1551"/>
      <c r="AO1019" s="1551"/>
      <c r="AP1019" s="1551"/>
      <c r="AQ1019" s="1552"/>
      <c r="AR1019" s="68"/>
      <c r="AS1019" s="68"/>
      <c r="AT1019" s="68"/>
      <c r="AU1019" s="68"/>
      <c r="AV1019" s="68"/>
      <c r="AW1019" s="68"/>
      <c r="AX1019" s="68"/>
      <c r="AY1019" s="213">
        <f>IF(A1098="Yes",0.02,0)</f>
        <v>0</v>
      </c>
    </row>
    <row r="1020" spans="1:51" ht="13.05" customHeight="1">
      <c r="A1020" s="14"/>
      <c r="B1020" s="81"/>
      <c r="C1020" s="84"/>
      <c r="D1020" s="1578"/>
      <c r="E1020" s="1579"/>
      <c r="F1020" s="1579"/>
      <c r="G1020" s="1579"/>
      <c r="H1020" s="1579"/>
      <c r="I1020" s="1579"/>
      <c r="J1020" s="1579"/>
      <c r="K1020" s="1579"/>
      <c r="L1020" s="1579"/>
      <c r="M1020" s="1579"/>
      <c r="N1020" s="1579"/>
      <c r="O1020" s="1579"/>
      <c r="P1020" s="1579"/>
      <c r="Q1020" s="1579"/>
      <c r="R1020" s="1579"/>
      <c r="S1020" s="1579"/>
      <c r="T1020" s="1579"/>
      <c r="U1020" s="1579"/>
      <c r="V1020" s="1579"/>
      <c r="W1020" s="1579"/>
      <c r="X1020" s="1579"/>
      <c r="Y1020" s="1579"/>
      <c r="Z1020" s="1579"/>
      <c r="AA1020" s="1579"/>
      <c r="AB1020" s="1579"/>
      <c r="AC1020" s="1579"/>
      <c r="AD1020" s="1579"/>
      <c r="AE1020" s="1580"/>
      <c r="AF1020" s="1531" t="str">
        <f>IF(AG1019="yes","Please Select Type and Enter Amount:","")</f>
        <v/>
      </c>
      <c r="AG1020" s="1532"/>
      <c r="AH1020" s="1532"/>
      <c r="AI1020" s="1533"/>
      <c r="AJ1020" s="1553"/>
      <c r="AK1020" s="1554"/>
      <c r="AL1020" s="1554"/>
      <c r="AM1020" s="1554"/>
      <c r="AN1020" s="1554"/>
      <c r="AO1020" s="1554"/>
      <c r="AP1020" s="1554"/>
      <c r="AQ1020" s="1555"/>
      <c r="AR1020" s="68"/>
      <c r="AS1020" s="68"/>
      <c r="AT1020" s="68"/>
      <c r="AU1020" s="68"/>
      <c r="AV1020" s="68"/>
      <c r="AW1020" s="68"/>
      <c r="AX1020" s="68"/>
      <c r="AY1020" s="214">
        <f>IF(A1103="Yes",0.02,0)</f>
        <v>0</v>
      </c>
    </row>
    <row r="1021" spans="1:51" ht="13.05" customHeight="1">
      <c r="A1021" s="14"/>
      <c r="B1021" s="81"/>
      <c r="C1021" s="84"/>
      <c r="D1021" s="1503" t="s">
        <v>1401</v>
      </c>
      <c r="E1021" s="1504"/>
      <c r="F1021" s="1504"/>
      <c r="G1021" s="1504"/>
      <c r="H1021" s="1504"/>
      <c r="I1021" s="1504"/>
      <c r="J1021" s="1504"/>
      <c r="K1021" s="1504"/>
      <c r="L1021" s="1504"/>
      <c r="M1021" s="1504"/>
      <c r="N1021" s="1504"/>
      <c r="O1021" s="1504"/>
      <c r="P1021" s="1504"/>
      <c r="Q1021" s="1504"/>
      <c r="R1021" s="1504"/>
      <c r="S1021" s="1504"/>
      <c r="T1021" s="1504"/>
      <c r="U1021" s="1504"/>
      <c r="V1021" s="1504"/>
      <c r="W1021" s="1504"/>
      <c r="X1021" s="1504"/>
      <c r="Y1021" s="1504"/>
      <c r="Z1021" s="1504"/>
      <c r="AA1021" s="1504"/>
      <c r="AB1021" s="1504"/>
      <c r="AC1021" s="1504"/>
      <c r="AD1021" s="1504"/>
      <c r="AE1021" s="1505"/>
      <c r="AF1021" s="1531"/>
      <c r="AG1021" s="1532"/>
      <c r="AH1021" s="1532"/>
      <c r="AI1021" s="1533"/>
      <c r="AJ1021" s="1553"/>
      <c r="AK1021" s="1554"/>
      <c r="AL1021" s="1554"/>
      <c r="AM1021" s="1554"/>
      <c r="AN1021" s="1554"/>
      <c r="AO1021" s="1554"/>
      <c r="AP1021" s="1554"/>
      <c r="AQ1021" s="1555"/>
      <c r="AR1021" s="68"/>
      <c r="AS1021" s="68"/>
      <c r="AT1021" s="68"/>
      <c r="AU1021" s="68"/>
      <c r="AV1021" s="68"/>
      <c r="AW1021" s="68"/>
      <c r="AX1021" s="68"/>
      <c r="AY1021" s="68"/>
    </row>
    <row r="1022" spans="1:51" ht="13.05" customHeight="1">
      <c r="A1022" s="14"/>
      <c r="B1022" s="81"/>
      <c r="C1022" s="84"/>
      <c r="D1022" s="1503"/>
      <c r="E1022" s="1504"/>
      <c r="F1022" s="1504"/>
      <c r="G1022" s="1504"/>
      <c r="H1022" s="1504"/>
      <c r="I1022" s="1504"/>
      <c r="J1022" s="1504"/>
      <c r="K1022" s="1504"/>
      <c r="L1022" s="1504"/>
      <c r="M1022" s="1504"/>
      <c r="N1022" s="1504"/>
      <c r="O1022" s="1504"/>
      <c r="P1022" s="1504"/>
      <c r="Q1022" s="1504"/>
      <c r="R1022" s="1504"/>
      <c r="S1022" s="1504"/>
      <c r="T1022" s="1504"/>
      <c r="U1022" s="1504"/>
      <c r="V1022" s="1504"/>
      <c r="W1022" s="1504"/>
      <c r="X1022" s="1504"/>
      <c r="Y1022" s="1504"/>
      <c r="Z1022" s="1504"/>
      <c r="AA1022" s="1504"/>
      <c r="AB1022" s="1504"/>
      <c r="AC1022" s="1504"/>
      <c r="AD1022" s="1504"/>
      <c r="AE1022" s="1505"/>
      <c r="AF1022" s="1534"/>
      <c r="AG1022" s="1534"/>
      <c r="AH1022" s="1534"/>
      <c r="AI1022" s="1534"/>
      <c r="AJ1022" s="1553"/>
      <c r="AK1022" s="1554"/>
      <c r="AL1022" s="1554"/>
      <c r="AM1022" s="1554"/>
      <c r="AN1022" s="1554"/>
      <c r="AO1022" s="1554"/>
      <c r="AP1022" s="1554"/>
      <c r="AQ1022" s="1555"/>
      <c r="AR1022" s="68"/>
      <c r="AS1022" s="68"/>
      <c r="AT1022" s="68"/>
      <c r="AU1022" s="68"/>
      <c r="AV1022" s="68"/>
      <c r="AW1022" s="68"/>
      <c r="AX1022" s="68"/>
      <c r="AY1022" s="68" t="str">
        <f>"Select items beginning on row #"&amp;TEXT(ROW(A1060),"#")&amp;" to claim this boost"</f>
        <v>Select items beginning on row #1060 to claim this boost</v>
      </c>
    </row>
    <row r="1023" spans="1:51" ht="13.05" customHeight="1">
      <c r="A1023" s="14"/>
      <c r="B1023" s="81"/>
      <c r="C1023" s="84"/>
      <c r="D1023" s="560" t="s">
        <v>360</v>
      </c>
      <c r="E1023" s="90"/>
      <c r="F1023" s="90"/>
      <c r="G1023" s="104"/>
      <c r="H1023" s="104"/>
      <c r="I1023" s="49"/>
      <c r="J1023" s="1506" t="s">
        <v>599</v>
      </c>
      <c r="K1023" s="1507"/>
      <c r="L1023" s="1507"/>
      <c r="M1023" s="1507"/>
      <c r="N1023" s="1507"/>
      <c r="O1023" s="1507"/>
      <c r="P1023" s="1507"/>
      <c r="Q1023" s="1507"/>
      <c r="R1023" s="1507"/>
      <c r="S1023" s="1507"/>
      <c r="T1023" s="1507"/>
      <c r="U1023" s="1507"/>
      <c r="V1023" s="1507"/>
      <c r="W1023" s="1507"/>
      <c r="X1023" s="1507"/>
      <c r="Y1023" s="1507"/>
      <c r="Z1023" s="1507"/>
      <c r="AA1023" s="1507"/>
      <c r="AB1023" s="1507"/>
      <c r="AC1023" s="1507"/>
      <c r="AD1023" s="1507"/>
      <c r="AE1023" s="1508"/>
      <c r="AF1023" s="1534"/>
      <c r="AG1023" s="1534"/>
      <c r="AH1023" s="1534"/>
      <c r="AI1023" s="1534"/>
      <c r="AJ1023" s="1556"/>
      <c r="AK1023" s="1557"/>
      <c r="AL1023" s="1557"/>
      <c r="AM1023" s="1557"/>
      <c r="AN1023" s="1557"/>
      <c r="AO1023" s="1557"/>
      <c r="AP1023" s="1557"/>
      <c r="AQ1023" s="1558"/>
      <c r="AR1023" s="68"/>
      <c r="AS1023" s="68"/>
      <c r="AT1023" s="68"/>
      <c r="AU1023" s="68"/>
      <c r="AV1023" s="68"/>
      <c r="AW1023" s="68"/>
      <c r="AX1023" s="68"/>
      <c r="AY1023" s="68"/>
    </row>
    <row r="1024" spans="1:51" ht="13.05" customHeight="1">
      <c r="A1024" s="14"/>
      <c r="B1024" s="79"/>
      <c r="C1024" s="80" t="s">
        <v>230</v>
      </c>
      <c r="D1024" s="1515" t="s">
        <v>1402</v>
      </c>
      <c r="E1024" s="1516"/>
      <c r="F1024" s="1516"/>
      <c r="G1024" s="1516"/>
      <c r="H1024" s="1516"/>
      <c r="I1024" s="1516"/>
      <c r="J1024" s="1516"/>
      <c r="K1024" s="1516"/>
      <c r="L1024" s="1516"/>
      <c r="M1024" s="1516"/>
      <c r="N1024" s="1516"/>
      <c r="O1024" s="1516"/>
      <c r="P1024" s="1516"/>
      <c r="Q1024" s="1516"/>
      <c r="R1024" s="1516"/>
      <c r="S1024" s="1516"/>
      <c r="T1024" s="1516"/>
      <c r="U1024" s="1516"/>
      <c r="V1024" s="1516"/>
      <c r="W1024" s="1516"/>
      <c r="X1024" s="1516"/>
      <c r="Y1024" s="1516"/>
      <c r="Z1024" s="1516"/>
      <c r="AA1024" s="1516"/>
      <c r="AB1024" s="1516"/>
      <c r="AC1024" s="1516"/>
      <c r="AD1024" s="1516"/>
      <c r="AE1024" s="1517"/>
      <c r="AF1024" s="79"/>
      <c r="AG1024" s="1523" t="s">
        <v>553</v>
      </c>
      <c r="AH1024" s="1524"/>
      <c r="AI1024" s="87"/>
      <c r="AJ1024" s="1550">
        <f>ROUND(IF(AG1024="Yes",AF1026,0),0)</f>
        <v>2239299</v>
      </c>
      <c r="AK1024" s="1551"/>
      <c r="AL1024" s="1551"/>
      <c r="AM1024" s="1551"/>
      <c r="AN1024" s="1551"/>
      <c r="AO1024" s="1551"/>
      <c r="AP1024" s="1551"/>
      <c r="AQ1024" s="1552"/>
      <c r="AR1024" s="68"/>
      <c r="AS1024" s="68"/>
      <c r="AT1024" s="68"/>
      <c r="AU1024" s="68"/>
      <c r="AV1024" s="68"/>
      <c r="AW1024" s="68"/>
      <c r="AX1024" s="68"/>
      <c r="AY1024" s="68"/>
    </row>
    <row r="1025" spans="1:51" ht="13.05" customHeight="1">
      <c r="A1025" s="14"/>
      <c r="B1025" s="73"/>
      <c r="C1025" s="74"/>
      <c r="D1025" s="1503" t="s">
        <v>1877</v>
      </c>
      <c r="E1025" s="1504"/>
      <c r="F1025" s="1504"/>
      <c r="G1025" s="1504"/>
      <c r="H1025" s="1504"/>
      <c r="I1025" s="1504"/>
      <c r="J1025" s="1504"/>
      <c r="K1025" s="1504"/>
      <c r="L1025" s="1504"/>
      <c r="M1025" s="1504"/>
      <c r="N1025" s="1504"/>
      <c r="O1025" s="1504"/>
      <c r="P1025" s="1504"/>
      <c r="Q1025" s="1504"/>
      <c r="R1025" s="1504"/>
      <c r="S1025" s="1504"/>
      <c r="T1025" s="1504"/>
      <c r="U1025" s="1504"/>
      <c r="V1025" s="1504"/>
      <c r="W1025" s="1504"/>
      <c r="X1025" s="1504"/>
      <c r="Y1025" s="1504"/>
      <c r="Z1025" s="1504"/>
      <c r="AA1025" s="1504"/>
      <c r="AB1025" s="1504"/>
      <c r="AC1025" s="1504"/>
      <c r="AD1025" s="1504"/>
      <c r="AE1025" s="1505"/>
      <c r="AF1025" s="1581" t="str">
        <f>IF(AG1024="yes","Enter Amount:","")</f>
        <v>Enter Amount:</v>
      </c>
      <c r="AG1025" s="1582"/>
      <c r="AH1025" s="1582"/>
      <c r="AI1025" s="1583"/>
      <c r="AJ1025" s="1553"/>
      <c r="AK1025" s="1554"/>
      <c r="AL1025" s="1554"/>
      <c r="AM1025" s="1554"/>
      <c r="AN1025" s="1554"/>
      <c r="AO1025" s="1554"/>
      <c r="AP1025" s="1554"/>
      <c r="AQ1025" s="1555"/>
      <c r="AR1025" s="68"/>
      <c r="AS1025" s="68"/>
      <c r="AT1025" s="68"/>
      <c r="AU1025" s="68"/>
      <c r="AV1025" s="68"/>
      <c r="AW1025" s="68"/>
      <c r="AX1025" s="68"/>
      <c r="AY1025" s="68"/>
    </row>
    <row r="1026" spans="1:51" ht="13.05" customHeight="1">
      <c r="A1026" s="14"/>
      <c r="B1026" s="73"/>
      <c r="C1026" s="74"/>
      <c r="D1026" s="1503"/>
      <c r="E1026" s="1504"/>
      <c r="F1026" s="1504"/>
      <c r="G1026" s="1504"/>
      <c r="H1026" s="1504"/>
      <c r="I1026" s="1504"/>
      <c r="J1026" s="1504"/>
      <c r="K1026" s="1504"/>
      <c r="L1026" s="1504"/>
      <c r="M1026" s="1504"/>
      <c r="N1026" s="1504"/>
      <c r="O1026" s="1504"/>
      <c r="P1026" s="1504"/>
      <c r="Q1026" s="1504"/>
      <c r="R1026" s="1504"/>
      <c r="S1026" s="1504"/>
      <c r="T1026" s="1504"/>
      <c r="U1026" s="1504"/>
      <c r="V1026" s="1504"/>
      <c r="W1026" s="1504"/>
      <c r="X1026" s="1504"/>
      <c r="Y1026" s="1504"/>
      <c r="Z1026" s="1504"/>
      <c r="AA1026" s="1504"/>
      <c r="AB1026" s="1504"/>
      <c r="AC1026" s="1504"/>
      <c r="AD1026" s="1504"/>
      <c r="AE1026" s="1505"/>
      <c r="AF1026" s="1534">
        <v>2239299</v>
      </c>
      <c r="AG1026" s="1534"/>
      <c r="AH1026" s="1534"/>
      <c r="AI1026" s="1534"/>
      <c r="AJ1026" s="1553"/>
      <c r="AK1026" s="1554"/>
      <c r="AL1026" s="1554"/>
      <c r="AM1026" s="1554"/>
      <c r="AN1026" s="1554"/>
      <c r="AO1026" s="1554"/>
      <c r="AP1026" s="1554"/>
      <c r="AQ1026" s="1555"/>
      <c r="AR1026" s="68"/>
      <c r="AS1026" s="68"/>
      <c r="AT1026" s="68"/>
      <c r="AU1026" s="68"/>
      <c r="AV1026" s="68"/>
      <c r="AW1026" s="68"/>
      <c r="AX1026" s="68"/>
      <c r="AY1026" s="68"/>
    </row>
    <row r="1027" spans="1:51" ht="13.05" customHeight="1">
      <c r="A1027" s="14"/>
      <c r="B1027" s="85"/>
      <c r="C1027" s="84"/>
      <c r="D1027" s="1528"/>
      <c r="E1027" s="1529"/>
      <c r="F1027" s="1529"/>
      <c r="G1027" s="1529"/>
      <c r="H1027" s="1529"/>
      <c r="I1027" s="1529"/>
      <c r="J1027" s="1529"/>
      <c r="K1027" s="1529"/>
      <c r="L1027" s="1529"/>
      <c r="M1027" s="1529"/>
      <c r="N1027" s="1529"/>
      <c r="O1027" s="1529"/>
      <c r="P1027" s="1529"/>
      <c r="Q1027" s="1529"/>
      <c r="R1027" s="1529"/>
      <c r="S1027" s="1529"/>
      <c r="T1027" s="1529"/>
      <c r="U1027" s="1529"/>
      <c r="V1027" s="1529"/>
      <c r="W1027" s="1529"/>
      <c r="X1027" s="1529"/>
      <c r="Y1027" s="1529"/>
      <c r="Z1027" s="1529"/>
      <c r="AA1027" s="1529"/>
      <c r="AB1027" s="1529"/>
      <c r="AC1027" s="1529"/>
      <c r="AD1027" s="1529"/>
      <c r="AE1027" s="1530"/>
      <c r="AF1027" s="1534"/>
      <c r="AG1027" s="1534"/>
      <c r="AH1027" s="1534"/>
      <c r="AI1027" s="1534"/>
      <c r="AJ1027" s="1556"/>
      <c r="AK1027" s="1557"/>
      <c r="AL1027" s="1557"/>
      <c r="AM1027" s="1557"/>
      <c r="AN1027" s="1557"/>
      <c r="AO1027" s="1557"/>
      <c r="AP1027" s="1557"/>
      <c r="AQ1027" s="1558"/>
      <c r="AR1027" s="68"/>
      <c r="AS1027" s="68"/>
      <c r="AT1027" s="68"/>
      <c r="AU1027" s="68"/>
      <c r="AV1027" s="68"/>
      <c r="AW1027" s="68"/>
      <c r="AX1027" s="68"/>
      <c r="AY1027" s="68"/>
    </row>
    <row r="1028" spans="1:51" ht="13.05" customHeight="1">
      <c r="A1028" s="14"/>
      <c r="B1028" s="79"/>
      <c r="C1028" s="80" t="s">
        <v>235</v>
      </c>
      <c r="D1028" s="1525" t="s">
        <v>1403</v>
      </c>
      <c r="E1028" s="1526"/>
      <c r="F1028" s="1526"/>
      <c r="G1028" s="1526"/>
      <c r="H1028" s="1526"/>
      <c r="I1028" s="1526"/>
      <c r="J1028" s="1526"/>
      <c r="K1028" s="1526"/>
      <c r="L1028" s="1526"/>
      <c r="M1028" s="1526"/>
      <c r="N1028" s="1526"/>
      <c r="O1028" s="1526"/>
      <c r="P1028" s="1526"/>
      <c r="Q1028" s="1526"/>
      <c r="R1028" s="1526"/>
      <c r="S1028" s="1526"/>
      <c r="T1028" s="1526"/>
      <c r="U1028" s="1526"/>
      <c r="V1028" s="1526"/>
      <c r="W1028" s="1526"/>
      <c r="X1028" s="1526"/>
      <c r="Y1028" s="1526"/>
      <c r="Z1028" s="1526"/>
      <c r="AA1028" s="1526"/>
      <c r="AB1028" s="1526"/>
      <c r="AC1028" s="1526"/>
      <c r="AD1028" s="1526"/>
      <c r="AE1028" s="1527"/>
      <c r="AF1028" s="79"/>
      <c r="AG1028" s="1523" t="s">
        <v>676</v>
      </c>
      <c r="AH1028" s="1524"/>
      <c r="AI1028" s="87"/>
      <c r="AJ1028" s="1550">
        <f>ROUND(IF(AG1028="yes",(AJ991*0.1),0),0)</f>
        <v>0</v>
      </c>
      <c r="AK1028" s="1551"/>
      <c r="AL1028" s="1551"/>
      <c r="AM1028" s="1551"/>
      <c r="AN1028" s="1551"/>
      <c r="AO1028" s="1551"/>
      <c r="AP1028" s="1551"/>
      <c r="AQ1028" s="1552"/>
      <c r="AR1028" s="68"/>
      <c r="AS1028" s="68"/>
      <c r="AT1028" s="68"/>
      <c r="AU1028" s="68"/>
      <c r="AV1028" s="68"/>
      <c r="AW1028" s="68"/>
      <c r="AX1028" s="68"/>
      <c r="AY1028" s="68"/>
    </row>
    <row r="1029" spans="1:51" ht="13.05" customHeight="1">
      <c r="A1029" s="14"/>
      <c r="B1029" s="73"/>
      <c r="C1029" s="74"/>
      <c r="D1029" s="1503" t="s">
        <v>1404</v>
      </c>
      <c r="E1029" s="1504"/>
      <c r="F1029" s="1504"/>
      <c r="G1029" s="1504"/>
      <c r="H1029" s="1504"/>
      <c r="I1029" s="1504"/>
      <c r="J1029" s="1504"/>
      <c r="K1029" s="1504"/>
      <c r="L1029" s="1504"/>
      <c r="M1029" s="1504"/>
      <c r="N1029" s="1504"/>
      <c r="O1029" s="1504"/>
      <c r="P1029" s="1504"/>
      <c r="Q1029" s="1504"/>
      <c r="R1029" s="1504"/>
      <c r="S1029" s="1504"/>
      <c r="T1029" s="1504"/>
      <c r="U1029" s="1504"/>
      <c r="V1029" s="1504"/>
      <c r="W1029" s="1504"/>
      <c r="X1029" s="1504"/>
      <c r="Y1029" s="1504"/>
      <c r="Z1029" s="1504"/>
      <c r="AA1029" s="1504"/>
      <c r="AB1029" s="1504"/>
      <c r="AC1029" s="1504"/>
      <c r="AD1029" s="1504"/>
      <c r="AE1029" s="1505"/>
      <c r="AF1029" s="73"/>
      <c r="AG1029" s="14"/>
      <c r="AH1029" s="14"/>
      <c r="AI1029" s="83"/>
      <c r="AJ1029" s="1553"/>
      <c r="AK1029" s="1554"/>
      <c r="AL1029" s="1554"/>
      <c r="AM1029" s="1554"/>
      <c r="AN1029" s="1554"/>
      <c r="AO1029" s="1554"/>
      <c r="AP1029" s="1554"/>
      <c r="AQ1029" s="1555"/>
      <c r="AR1029" s="68"/>
      <c r="AS1029" s="68"/>
      <c r="AT1029" s="68"/>
      <c r="AU1029" s="68"/>
      <c r="AV1029" s="68"/>
      <c r="AW1029" s="68"/>
      <c r="AX1029" s="68"/>
      <c r="AY1029" s="68"/>
    </row>
    <row r="1030" spans="1:51" ht="13.05" customHeight="1">
      <c r="A1030" s="14"/>
      <c r="B1030" s="77"/>
      <c r="C1030" s="74"/>
      <c r="D1030" s="1528"/>
      <c r="E1030" s="1529"/>
      <c r="F1030" s="1529"/>
      <c r="G1030" s="1529"/>
      <c r="H1030" s="1529"/>
      <c r="I1030" s="1529"/>
      <c r="J1030" s="1529"/>
      <c r="K1030" s="1529"/>
      <c r="L1030" s="1529"/>
      <c r="M1030" s="1529"/>
      <c r="N1030" s="1529"/>
      <c r="O1030" s="1529"/>
      <c r="P1030" s="1529"/>
      <c r="Q1030" s="1529"/>
      <c r="R1030" s="1529"/>
      <c r="S1030" s="1529"/>
      <c r="T1030" s="1529"/>
      <c r="U1030" s="1529"/>
      <c r="V1030" s="1529"/>
      <c r="W1030" s="1529"/>
      <c r="X1030" s="1529"/>
      <c r="Y1030" s="1529"/>
      <c r="Z1030" s="1529"/>
      <c r="AA1030" s="1529"/>
      <c r="AB1030" s="1529"/>
      <c r="AC1030" s="1529"/>
      <c r="AD1030" s="1529"/>
      <c r="AE1030" s="1530"/>
      <c r="AF1030" s="73"/>
      <c r="AG1030" s="14"/>
      <c r="AH1030" s="14"/>
      <c r="AI1030" s="83"/>
      <c r="AJ1030" s="1556"/>
      <c r="AK1030" s="1557"/>
      <c r="AL1030" s="1557"/>
      <c r="AM1030" s="1557"/>
      <c r="AN1030" s="1557"/>
      <c r="AO1030" s="1557"/>
      <c r="AP1030" s="1557"/>
      <c r="AQ1030" s="1558"/>
      <c r="AR1030" s="68"/>
      <c r="AS1030" s="68"/>
      <c r="AT1030" s="68"/>
      <c r="AU1030" s="68"/>
      <c r="AV1030" s="68"/>
      <c r="AW1030" s="68"/>
      <c r="AX1030" s="68"/>
      <c r="AY1030" s="68"/>
    </row>
    <row r="1031" spans="1:51" ht="13.05" customHeight="1">
      <c r="A1031" s="14"/>
      <c r="B1031" s="73"/>
      <c r="C1031" s="367" t="s">
        <v>695</v>
      </c>
      <c r="D1031" s="1515" t="s">
        <v>1873</v>
      </c>
      <c r="E1031" s="1516"/>
      <c r="F1031" s="1516"/>
      <c r="G1031" s="1516"/>
      <c r="H1031" s="1516"/>
      <c r="I1031" s="1516"/>
      <c r="J1031" s="1516"/>
      <c r="K1031" s="1516"/>
      <c r="L1031" s="1516"/>
      <c r="M1031" s="1516"/>
      <c r="N1031" s="1516"/>
      <c r="O1031" s="1516"/>
      <c r="P1031" s="1516"/>
      <c r="Q1031" s="1516"/>
      <c r="R1031" s="1516"/>
      <c r="S1031" s="1516"/>
      <c r="T1031" s="1516"/>
      <c r="U1031" s="1516"/>
      <c r="V1031" s="1516"/>
      <c r="W1031" s="1516"/>
      <c r="X1031" s="1516"/>
      <c r="Y1031" s="1516"/>
      <c r="Z1031" s="1516"/>
      <c r="AA1031" s="1516"/>
      <c r="AB1031" s="1516"/>
      <c r="AC1031" s="1516"/>
      <c r="AD1031" s="1516"/>
      <c r="AE1031" s="1517"/>
      <c r="AF1031" s="79"/>
      <c r="AG1031" s="1523" t="s">
        <v>676</v>
      </c>
      <c r="AH1031" s="1524"/>
      <c r="AI1031" s="87"/>
      <c r="AJ1031" s="1550">
        <f>ROUND(IF(AG1031="yes",(AJ991*0.15),0),0)</f>
        <v>0</v>
      </c>
      <c r="AK1031" s="1551"/>
      <c r="AL1031" s="1551"/>
      <c r="AM1031" s="1551"/>
      <c r="AN1031" s="1551"/>
      <c r="AO1031" s="1551"/>
      <c r="AP1031" s="1551"/>
      <c r="AQ1031" s="1552"/>
      <c r="AR1031" s="68"/>
      <c r="AS1031" s="68"/>
      <c r="AT1031" s="68"/>
      <c r="AU1031" s="68"/>
      <c r="AV1031" s="68"/>
      <c r="AW1031" s="68"/>
      <c r="AX1031" s="68"/>
      <c r="AY1031" s="68"/>
    </row>
    <row r="1032" spans="1:51" ht="13.05" customHeight="1">
      <c r="A1032" s="14"/>
      <c r="B1032" s="73"/>
      <c r="C1032" s="74"/>
      <c r="D1032" s="1570" t="s">
        <v>1874</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571"/>
      <c r="AF1032" s="950"/>
      <c r="AG1032" s="951"/>
      <c r="AH1032" s="951"/>
      <c r="AI1032" s="952"/>
      <c r="AJ1032" s="1553"/>
      <c r="AK1032" s="1554"/>
      <c r="AL1032" s="1554"/>
      <c r="AM1032" s="1554"/>
      <c r="AN1032" s="1554"/>
      <c r="AO1032" s="1554"/>
      <c r="AP1032" s="1554"/>
      <c r="AQ1032" s="1555"/>
      <c r="AR1032" s="68"/>
      <c r="AS1032" s="68"/>
      <c r="AT1032" s="68"/>
      <c r="AU1032" s="68"/>
      <c r="AV1032" s="68"/>
      <c r="AW1032" s="68"/>
      <c r="AX1032" s="68"/>
      <c r="AY1032" s="68"/>
    </row>
    <row r="1033" spans="1:51" ht="13.05" customHeight="1">
      <c r="A1033" s="14"/>
      <c r="B1033" s="73"/>
      <c r="C1033" s="74"/>
      <c r="D1033" s="1570"/>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571"/>
      <c r="AF1033" s="950"/>
      <c r="AG1033" s="951"/>
      <c r="AH1033" s="951"/>
      <c r="AI1033" s="952"/>
      <c r="AJ1033" s="1553"/>
      <c r="AK1033" s="1554"/>
      <c r="AL1033" s="1554"/>
      <c r="AM1033" s="1554"/>
      <c r="AN1033" s="1554"/>
      <c r="AO1033" s="1554"/>
      <c r="AP1033" s="1554"/>
      <c r="AQ1033" s="1555"/>
      <c r="AR1033" s="68"/>
      <c r="AS1033" s="68"/>
      <c r="AT1033" s="68"/>
      <c r="AU1033" s="68"/>
      <c r="AV1033" s="68"/>
      <c r="AW1033" s="68"/>
      <c r="AX1033" s="68"/>
      <c r="AY1033" s="68"/>
    </row>
    <row r="1034" spans="1:51" ht="13.05" customHeight="1">
      <c r="A1034" s="14"/>
      <c r="B1034" s="73"/>
      <c r="C1034" s="74"/>
      <c r="D1034" s="1572"/>
      <c r="E1034" s="1573"/>
      <c r="F1034" s="1573"/>
      <c r="G1034" s="1573"/>
      <c r="H1034" s="1573"/>
      <c r="I1034" s="1573"/>
      <c r="J1034" s="1573"/>
      <c r="K1034" s="1573"/>
      <c r="L1034" s="1573"/>
      <c r="M1034" s="1573"/>
      <c r="N1034" s="1573"/>
      <c r="O1034" s="1573"/>
      <c r="P1034" s="1573"/>
      <c r="Q1034" s="1573"/>
      <c r="R1034" s="1573"/>
      <c r="S1034" s="1573"/>
      <c r="T1034" s="1573"/>
      <c r="U1034" s="1573"/>
      <c r="V1034" s="1573"/>
      <c r="W1034" s="1573"/>
      <c r="X1034" s="1573"/>
      <c r="Y1034" s="1573"/>
      <c r="Z1034" s="1573"/>
      <c r="AA1034" s="1573"/>
      <c r="AB1034" s="1573"/>
      <c r="AC1034" s="1573"/>
      <c r="AD1034" s="1573"/>
      <c r="AE1034" s="1574"/>
      <c r="AF1034" s="953"/>
      <c r="AG1034" s="954"/>
      <c r="AH1034" s="954"/>
      <c r="AI1034" s="955"/>
      <c r="AJ1034" s="1556"/>
      <c r="AK1034" s="1557"/>
      <c r="AL1034" s="1557"/>
      <c r="AM1034" s="1557"/>
      <c r="AN1034" s="1557"/>
      <c r="AO1034" s="1557"/>
      <c r="AP1034" s="1557"/>
      <c r="AQ1034" s="1558"/>
      <c r="AR1034" s="68"/>
      <c r="AS1034" s="68"/>
      <c r="AT1034" s="68"/>
      <c r="AU1034" s="68"/>
      <c r="AV1034" s="68"/>
      <c r="AW1034" s="68"/>
      <c r="AX1034" s="68"/>
      <c r="AY1034" s="68"/>
    </row>
    <row r="1035" spans="1:51" ht="13.05" customHeight="1">
      <c r="A1035" s="14"/>
      <c r="B1035" s="73"/>
      <c r="C1035" s="367" t="s">
        <v>695</v>
      </c>
      <c r="D1035" s="1525" t="s">
        <v>1875</v>
      </c>
      <c r="E1035" s="1526"/>
      <c r="F1035" s="1526"/>
      <c r="G1035" s="1526"/>
      <c r="H1035" s="1526"/>
      <c r="I1035" s="1526"/>
      <c r="J1035" s="1526"/>
      <c r="K1035" s="1526"/>
      <c r="L1035" s="1526"/>
      <c r="M1035" s="1526"/>
      <c r="N1035" s="1526"/>
      <c r="O1035" s="1526"/>
      <c r="P1035" s="1526"/>
      <c r="Q1035" s="1526"/>
      <c r="R1035" s="1526"/>
      <c r="S1035" s="1526"/>
      <c r="T1035" s="1526"/>
      <c r="U1035" s="1526"/>
      <c r="V1035" s="1526"/>
      <c r="W1035" s="1526"/>
      <c r="X1035" s="1526"/>
      <c r="Y1035" s="1526"/>
      <c r="Z1035" s="1526"/>
      <c r="AA1035" s="1526"/>
      <c r="AB1035" s="1526"/>
      <c r="AC1035" s="1526"/>
      <c r="AD1035" s="1526"/>
      <c r="AE1035" s="1527"/>
      <c r="AF1035" s="73"/>
      <c r="AG1035" s="1640" t="s">
        <v>676</v>
      </c>
      <c r="AH1035" s="1641"/>
      <c r="AI1035" s="83"/>
      <c r="AJ1035" s="1550">
        <f>ROUND(IF(AND(AG1035="yes",AJ1031=0),(AJ991*0.1),0),0)</f>
        <v>0</v>
      </c>
      <c r="AK1035" s="1551"/>
      <c r="AL1035" s="1551"/>
      <c r="AM1035" s="1551"/>
      <c r="AN1035" s="1551"/>
      <c r="AO1035" s="1551"/>
      <c r="AP1035" s="1551"/>
      <c r="AQ1035" s="1552"/>
      <c r="AR1035" s="68"/>
      <c r="AS1035" s="68"/>
      <c r="AT1035" s="68"/>
      <c r="AU1035" s="68"/>
      <c r="AV1035" s="68"/>
      <c r="AW1035" s="68"/>
      <c r="AX1035" s="68"/>
      <c r="AY1035" s="68"/>
    </row>
    <row r="1036" spans="1:51" ht="13.05" customHeight="1">
      <c r="A1036" s="14"/>
      <c r="B1036" s="73"/>
      <c r="C1036" s="74"/>
      <c r="D1036" s="1570" t="s">
        <v>1876</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571"/>
      <c r="AF1036" s="73"/>
      <c r="AG1036" s="14"/>
      <c r="AH1036" s="14"/>
      <c r="AI1036" s="83"/>
      <c r="AJ1036" s="1553"/>
      <c r="AK1036" s="1554"/>
      <c r="AL1036" s="1554"/>
      <c r="AM1036" s="1554"/>
      <c r="AN1036" s="1554"/>
      <c r="AO1036" s="1554"/>
      <c r="AP1036" s="1554"/>
      <c r="AQ1036" s="1555"/>
      <c r="AR1036" s="68"/>
      <c r="AS1036" s="68"/>
      <c r="AT1036" s="68"/>
      <c r="AU1036" s="68"/>
      <c r="AV1036" s="68"/>
      <c r="AW1036" s="68"/>
      <c r="AX1036" s="68"/>
      <c r="AY1036" s="68"/>
    </row>
    <row r="1037" spans="1:51" ht="13.05" customHeight="1">
      <c r="A1037" s="14"/>
      <c r="B1037" s="73"/>
      <c r="C1037" s="74"/>
      <c r="D1037" s="1570"/>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571"/>
      <c r="AF1037" s="73"/>
      <c r="AG1037" s="14"/>
      <c r="AH1037" s="14"/>
      <c r="AI1037" s="83"/>
      <c r="AJ1037" s="1553"/>
      <c r="AK1037" s="1554"/>
      <c r="AL1037" s="1554"/>
      <c r="AM1037" s="1554"/>
      <c r="AN1037" s="1554"/>
      <c r="AO1037" s="1554"/>
      <c r="AP1037" s="1554"/>
      <c r="AQ1037" s="1555"/>
      <c r="AR1037" s="68"/>
      <c r="AS1037" s="68"/>
      <c r="AT1037" s="68"/>
      <c r="AU1037" s="68"/>
      <c r="AV1037" s="68"/>
      <c r="AW1037" s="68"/>
      <c r="AX1037" s="68"/>
      <c r="AY1037" s="68"/>
    </row>
    <row r="1038" spans="1:51" ht="13.05" customHeight="1">
      <c r="A1038" s="14"/>
      <c r="B1038" s="73"/>
      <c r="C1038" s="74"/>
      <c r="D1038" s="1570"/>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571"/>
      <c r="AF1038" s="73"/>
      <c r="AG1038" s="14"/>
      <c r="AH1038" s="14"/>
      <c r="AI1038" s="83"/>
      <c r="AJ1038" s="1553"/>
      <c r="AK1038" s="1554"/>
      <c r="AL1038" s="1554"/>
      <c r="AM1038" s="1554"/>
      <c r="AN1038" s="1554"/>
      <c r="AO1038" s="1554"/>
      <c r="AP1038" s="1554"/>
      <c r="AQ1038" s="1555"/>
      <c r="AR1038" s="68"/>
      <c r="AS1038" s="68"/>
      <c r="AT1038" s="68"/>
      <c r="AU1038" s="68"/>
      <c r="AV1038" s="68"/>
      <c r="AW1038" s="68"/>
      <c r="AX1038" s="68"/>
      <c r="AY1038" s="68"/>
    </row>
    <row r="1039" spans="1:51" ht="13.05" customHeight="1">
      <c r="A1039" s="14"/>
      <c r="B1039" s="73"/>
      <c r="C1039" s="74"/>
      <c r="D1039" s="1572"/>
      <c r="E1039" s="1573"/>
      <c r="F1039" s="1573"/>
      <c r="G1039" s="1573"/>
      <c r="H1039" s="1573"/>
      <c r="I1039" s="1573"/>
      <c r="J1039" s="1573"/>
      <c r="K1039" s="1573"/>
      <c r="L1039" s="1573"/>
      <c r="M1039" s="1573"/>
      <c r="N1039" s="1573"/>
      <c r="O1039" s="1573"/>
      <c r="P1039" s="1573"/>
      <c r="Q1039" s="1573"/>
      <c r="R1039" s="1573"/>
      <c r="S1039" s="1573"/>
      <c r="T1039" s="1573"/>
      <c r="U1039" s="1573"/>
      <c r="V1039" s="1573"/>
      <c r="W1039" s="1573"/>
      <c r="X1039" s="1573"/>
      <c r="Y1039" s="1573"/>
      <c r="Z1039" s="1573"/>
      <c r="AA1039" s="1573"/>
      <c r="AB1039" s="1573"/>
      <c r="AC1039" s="1573"/>
      <c r="AD1039" s="1573"/>
      <c r="AE1039" s="1574"/>
      <c r="AF1039" s="73"/>
      <c r="AG1039" s="14"/>
      <c r="AH1039" s="14"/>
      <c r="AI1039" s="83"/>
      <c r="AJ1039" s="1553"/>
      <c r="AK1039" s="1554"/>
      <c r="AL1039" s="1554"/>
      <c r="AM1039" s="1554"/>
      <c r="AN1039" s="1554"/>
      <c r="AO1039" s="1554"/>
      <c r="AP1039" s="1554"/>
      <c r="AQ1039" s="1555"/>
      <c r="AR1039" s="68"/>
      <c r="AS1039" s="68"/>
      <c r="AT1039" s="68"/>
      <c r="AU1039" s="68"/>
      <c r="AV1039" s="68"/>
      <c r="AW1039" s="68"/>
      <c r="AX1039" s="68"/>
      <c r="AY1039" s="68"/>
    </row>
    <row r="1040" spans="1:51" ht="13.05" customHeight="1">
      <c r="A1040" s="14"/>
      <c r="B1040" s="79"/>
      <c r="C1040" s="131" t="s">
        <v>1033</v>
      </c>
      <c r="D1040" s="1515" t="s">
        <v>1405</v>
      </c>
      <c r="E1040" s="1516"/>
      <c r="F1040" s="1516"/>
      <c r="G1040" s="1516"/>
      <c r="H1040" s="1516"/>
      <c r="I1040" s="1516"/>
      <c r="J1040" s="1516"/>
      <c r="K1040" s="1516"/>
      <c r="L1040" s="1516"/>
      <c r="M1040" s="1516"/>
      <c r="N1040" s="1516"/>
      <c r="O1040" s="1516"/>
      <c r="P1040" s="1516"/>
      <c r="Q1040" s="1516"/>
      <c r="R1040" s="1516"/>
      <c r="S1040" s="1516"/>
      <c r="T1040" s="1516"/>
      <c r="U1040" s="1516"/>
      <c r="V1040" s="1516"/>
      <c r="W1040" s="1516"/>
      <c r="X1040" s="1516"/>
      <c r="Y1040" s="1516"/>
      <c r="Z1040" s="1516"/>
      <c r="AA1040" s="1516"/>
      <c r="AB1040" s="1516"/>
      <c r="AC1040" s="1516"/>
      <c r="AD1040" s="1516"/>
      <c r="AE1040" s="1517"/>
      <c r="AF1040" s="79"/>
      <c r="AG1040" s="1523" t="s">
        <v>676</v>
      </c>
      <c r="AH1040" s="1524"/>
      <c r="AI1040" s="87"/>
      <c r="AJ1040" s="1550">
        <f>ROUND(IF(AG1040="yes",(AJ991*0.1),0),0)</f>
        <v>0</v>
      </c>
      <c r="AK1040" s="1551"/>
      <c r="AL1040" s="1551"/>
      <c r="AM1040" s="1551"/>
      <c r="AN1040" s="1551"/>
      <c r="AO1040" s="1551"/>
      <c r="AP1040" s="1551"/>
      <c r="AQ1040" s="1552"/>
      <c r="AR1040" s="68"/>
      <c r="AS1040" s="68"/>
      <c r="AT1040" s="68"/>
      <c r="AU1040" s="68"/>
      <c r="AV1040" s="68"/>
      <c r="AW1040" s="68"/>
      <c r="AX1040" s="68"/>
      <c r="AY1040" s="68"/>
    </row>
    <row r="1041" spans="1:51" ht="13.05" customHeight="1">
      <c r="A1041" s="14"/>
      <c r="B1041" s="73"/>
      <c r="C1041" s="74"/>
      <c r="D1041" s="1503" t="s">
        <v>2498</v>
      </c>
      <c r="E1041" s="1504"/>
      <c r="F1041" s="1504"/>
      <c r="G1041" s="1504"/>
      <c r="H1041" s="1504"/>
      <c r="I1041" s="1504"/>
      <c r="J1041" s="1504"/>
      <c r="K1041" s="1504"/>
      <c r="L1041" s="1504"/>
      <c r="M1041" s="1504"/>
      <c r="N1041" s="1504"/>
      <c r="O1041" s="1504"/>
      <c r="P1041" s="1504"/>
      <c r="Q1041" s="1504"/>
      <c r="R1041" s="1504"/>
      <c r="S1041" s="1504"/>
      <c r="T1041" s="1504"/>
      <c r="U1041" s="1504"/>
      <c r="V1041" s="1504"/>
      <c r="W1041" s="1504"/>
      <c r="X1041" s="1504"/>
      <c r="Y1041" s="1504"/>
      <c r="Z1041" s="1504"/>
      <c r="AA1041" s="1504"/>
      <c r="AB1041" s="1504"/>
      <c r="AC1041" s="1504"/>
      <c r="AD1041" s="1504"/>
      <c r="AE1041" s="1505"/>
      <c r="AF1041" s="73"/>
      <c r="AG1041" s="14"/>
      <c r="AH1041" s="14"/>
      <c r="AI1041" s="83"/>
      <c r="AJ1041" s="1553"/>
      <c r="AK1041" s="1554"/>
      <c r="AL1041" s="1554"/>
      <c r="AM1041" s="1554"/>
      <c r="AN1041" s="1554"/>
      <c r="AO1041" s="1554"/>
      <c r="AP1041" s="1554"/>
      <c r="AQ1041" s="1555"/>
      <c r="AR1041" s="68"/>
      <c r="AS1041" s="68"/>
      <c r="AT1041" s="68"/>
      <c r="AU1041" s="68"/>
      <c r="AV1041" s="68"/>
      <c r="AW1041" s="68"/>
      <c r="AX1041" s="68"/>
      <c r="AY1041" s="68"/>
    </row>
    <row r="1042" spans="1:51" ht="13.05" customHeight="1">
      <c r="A1042" s="14"/>
      <c r="B1042" s="73"/>
      <c r="C1042" s="74"/>
      <c r="D1042" s="1503"/>
      <c r="E1042" s="1504"/>
      <c r="F1042" s="1504"/>
      <c r="G1042" s="1504"/>
      <c r="H1042" s="1504"/>
      <c r="I1042" s="1504"/>
      <c r="J1042" s="1504"/>
      <c r="K1042" s="1504"/>
      <c r="L1042" s="1504"/>
      <c r="M1042" s="1504"/>
      <c r="N1042" s="1504"/>
      <c r="O1042" s="1504"/>
      <c r="P1042" s="1504"/>
      <c r="Q1042" s="1504"/>
      <c r="R1042" s="1504"/>
      <c r="S1042" s="1504"/>
      <c r="T1042" s="1504"/>
      <c r="U1042" s="1504"/>
      <c r="V1042" s="1504"/>
      <c r="W1042" s="1504"/>
      <c r="X1042" s="1504"/>
      <c r="Y1042" s="1504"/>
      <c r="Z1042" s="1504"/>
      <c r="AA1042" s="1504"/>
      <c r="AB1042" s="1504"/>
      <c r="AC1042" s="1504"/>
      <c r="AD1042" s="1504"/>
      <c r="AE1042" s="1505"/>
      <c r="AF1042" s="73"/>
      <c r="AG1042" s="14"/>
      <c r="AH1042" s="14"/>
      <c r="AI1042" s="83"/>
      <c r="AJ1042" s="1553"/>
      <c r="AK1042" s="1554"/>
      <c r="AL1042" s="1554"/>
      <c r="AM1042" s="1554"/>
      <c r="AN1042" s="1554"/>
      <c r="AO1042" s="1554"/>
      <c r="AP1042" s="1554"/>
      <c r="AQ1042" s="1555"/>
      <c r="AR1042" s="68"/>
      <c r="AS1042" s="68"/>
      <c r="AT1042" s="68"/>
      <c r="AU1042" s="68"/>
      <c r="AV1042" s="68"/>
      <c r="AW1042" s="68"/>
      <c r="AX1042" s="68"/>
      <c r="AY1042" s="68"/>
    </row>
    <row r="1043" spans="1:51" ht="13.05" customHeight="1">
      <c r="A1043" s="14"/>
      <c r="B1043" s="73"/>
      <c r="C1043" s="74"/>
      <c r="D1043" s="1528"/>
      <c r="E1043" s="1529"/>
      <c r="F1043" s="1529"/>
      <c r="G1043" s="1529"/>
      <c r="H1043" s="1529"/>
      <c r="I1043" s="1529"/>
      <c r="J1043" s="1529"/>
      <c r="K1043" s="1529"/>
      <c r="L1043" s="1529"/>
      <c r="M1043" s="1529"/>
      <c r="N1043" s="1529"/>
      <c r="O1043" s="1529"/>
      <c r="P1043" s="1529"/>
      <c r="Q1043" s="1529"/>
      <c r="R1043" s="1529"/>
      <c r="S1043" s="1529"/>
      <c r="T1043" s="1529"/>
      <c r="U1043" s="1529"/>
      <c r="V1043" s="1529"/>
      <c r="W1043" s="1529"/>
      <c r="X1043" s="1529"/>
      <c r="Y1043" s="1529"/>
      <c r="Z1043" s="1529"/>
      <c r="AA1043" s="1529"/>
      <c r="AB1043" s="1529"/>
      <c r="AC1043" s="1529"/>
      <c r="AD1043" s="1529"/>
      <c r="AE1043" s="1530"/>
      <c r="AF1043" s="73"/>
      <c r="AG1043" s="14"/>
      <c r="AH1043" s="14"/>
      <c r="AI1043" s="83"/>
      <c r="AJ1043" s="1556"/>
      <c r="AK1043" s="1557"/>
      <c r="AL1043" s="1557"/>
      <c r="AM1043" s="1557"/>
      <c r="AN1043" s="1557"/>
      <c r="AO1043" s="1557"/>
      <c r="AP1043" s="1557"/>
      <c r="AQ1043" s="1558"/>
      <c r="AR1043" s="68"/>
      <c r="AS1043" s="68"/>
      <c r="AT1043" s="68"/>
      <c r="AU1043" s="68"/>
      <c r="AV1043" s="68"/>
      <c r="AW1043" s="68"/>
      <c r="AX1043" s="68"/>
      <c r="AY1043" s="68"/>
    </row>
    <row r="1044" spans="1:51" ht="13.05" customHeight="1">
      <c r="A1044" s="14"/>
      <c r="B1044" s="79"/>
      <c r="C1044" s="131" t="s">
        <v>1871</v>
      </c>
      <c r="D1044" s="1525" t="s">
        <v>2053</v>
      </c>
      <c r="E1044" s="1526"/>
      <c r="F1044" s="1526"/>
      <c r="G1044" s="1526"/>
      <c r="H1044" s="1526"/>
      <c r="I1044" s="1526"/>
      <c r="J1044" s="1526"/>
      <c r="K1044" s="1526"/>
      <c r="L1044" s="1526"/>
      <c r="M1044" s="1526"/>
      <c r="N1044" s="1526"/>
      <c r="O1044" s="1526"/>
      <c r="P1044" s="1526"/>
      <c r="Q1044" s="1526"/>
      <c r="R1044" s="1526"/>
      <c r="S1044" s="1526"/>
      <c r="T1044" s="1526"/>
      <c r="U1044" s="1526"/>
      <c r="V1044" s="1526"/>
      <c r="W1044" s="1526"/>
      <c r="X1044" s="1526"/>
      <c r="Y1044" s="1526"/>
      <c r="Z1044" s="1526"/>
      <c r="AA1044" s="1526"/>
      <c r="AB1044" s="1526"/>
      <c r="AC1044" s="1526"/>
      <c r="AD1044" s="1526"/>
      <c r="AE1044" s="1527"/>
      <c r="AF1044" s="79"/>
      <c r="AG1044" s="1609" t="str">
        <f>IF(X1047&gt;0,"Yes","No")</f>
        <v>Yes</v>
      </c>
      <c r="AH1044" s="1610"/>
      <c r="AI1044" s="87"/>
      <c r="AJ1044" s="1550">
        <f>IF((X1047=0),0,AY1004*AJ991)</f>
        <v>12135047.82</v>
      </c>
      <c r="AK1044" s="1551"/>
      <c r="AL1044" s="1551"/>
      <c r="AM1044" s="1551"/>
      <c r="AN1044" s="1551"/>
      <c r="AO1044" s="1551"/>
      <c r="AP1044" s="1551"/>
      <c r="AQ1044" s="1552"/>
      <c r="AR1044" s="68"/>
      <c r="AS1044" s="68"/>
      <c r="AT1044" s="68"/>
      <c r="AU1044" s="68"/>
      <c r="AV1044" s="68"/>
      <c r="AW1044" s="68"/>
      <c r="AX1044" s="68"/>
      <c r="AY1044" s="68"/>
    </row>
    <row r="1045" spans="1:51" ht="13.05" customHeight="1">
      <c r="A1045" s="14"/>
      <c r="B1045" s="73"/>
      <c r="C1045" s="476"/>
      <c r="D1045" s="1503" t="s">
        <v>1407</v>
      </c>
      <c r="E1045" s="1504"/>
      <c r="F1045" s="1504"/>
      <c r="G1045" s="1504"/>
      <c r="H1045" s="1504"/>
      <c r="I1045" s="1504"/>
      <c r="J1045" s="1504"/>
      <c r="K1045" s="1504"/>
      <c r="L1045" s="1504"/>
      <c r="M1045" s="1504"/>
      <c r="N1045" s="1504"/>
      <c r="O1045" s="1504"/>
      <c r="P1045" s="1504"/>
      <c r="Q1045" s="1504"/>
      <c r="R1045" s="1504"/>
      <c r="S1045" s="1504"/>
      <c r="T1045" s="1504"/>
      <c r="U1045" s="1504"/>
      <c r="V1045" s="1504"/>
      <c r="W1045" s="1504"/>
      <c r="X1045" s="1504"/>
      <c r="Y1045" s="1504"/>
      <c r="Z1045" s="1504"/>
      <c r="AA1045" s="1504"/>
      <c r="AB1045" s="1504"/>
      <c r="AC1045" s="1504"/>
      <c r="AD1045" s="1504"/>
      <c r="AE1045" s="1505"/>
      <c r="AF1045" s="73"/>
      <c r="AG1045" s="477"/>
      <c r="AH1045" s="477"/>
      <c r="AI1045" s="83"/>
      <c r="AJ1045" s="1553"/>
      <c r="AK1045" s="1554"/>
      <c r="AL1045" s="1554"/>
      <c r="AM1045" s="1554"/>
      <c r="AN1045" s="1554"/>
      <c r="AO1045" s="1554"/>
      <c r="AP1045" s="1554"/>
      <c r="AQ1045" s="1555"/>
      <c r="AR1045" s="68"/>
      <c r="AS1045" s="68"/>
      <c r="AT1045" s="68"/>
      <c r="AU1045" s="13"/>
      <c r="AV1045" s="68"/>
      <c r="AW1045" s="68"/>
      <c r="AX1045" s="68"/>
      <c r="AY1045" s="68"/>
    </row>
    <row r="1046" spans="1:51" ht="13.05" customHeight="1">
      <c r="A1046" s="14"/>
      <c r="B1046" s="73"/>
      <c r="C1046" s="476"/>
      <c r="D1046" s="1503"/>
      <c r="E1046" s="1504"/>
      <c r="F1046" s="1504"/>
      <c r="G1046" s="1504"/>
      <c r="H1046" s="1504"/>
      <c r="I1046" s="1504"/>
      <c r="J1046" s="1504"/>
      <c r="K1046" s="1504"/>
      <c r="L1046" s="1504"/>
      <c r="M1046" s="1504"/>
      <c r="N1046" s="1504"/>
      <c r="O1046" s="1504"/>
      <c r="P1046" s="1504"/>
      <c r="Q1046" s="1504"/>
      <c r="R1046" s="1504"/>
      <c r="S1046" s="1504"/>
      <c r="T1046" s="1504"/>
      <c r="U1046" s="1504"/>
      <c r="V1046" s="1504"/>
      <c r="W1046" s="1504"/>
      <c r="X1046" s="1504"/>
      <c r="Y1046" s="1504"/>
      <c r="Z1046" s="1504"/>
      <c r="AA1046" s="1504"/>
      <c r="AB1046" s="1504"/>
      <c r="AC1046" s="1504"/>
      <c r="AD1046" s="1504"/>
      <c r="AE1046" s="1505"/>
      <c r="AF1046" s="73"/>
      <c r="AG1046" s="477"/>
      <c r="AH1046" s="477"/>
      <c r="AI1046" s="83"/>
      <c r="AJ1046" s="1553"/>
      <c r="AK1046" s="1554"/>
      <c r="AL1046" s="1554"/>
      <c r="AM1046" s="1554"/>
      <c r="AN1046" s="1554"/>
      <c r="AO1046" s="1554"/>
      <c r="AP1046" s="1554"/>
      <c r="AQ1046" s="1555"/>
      <c r="AR1046" s="68"/>
      <c r="AS1046" s="68"/>
      <c r="AT1046" s="68"/>
      <c r="AU1046" s="13"/>
      <c r="AV1046" s="68"/>
      <c r="AW1046" s="68"/>
      <c r="AX1046" s="68"/>
      <c r="AY1046" s="68"/>
    </row>
    <row r="1047" spans="1:51" ht="13.05" customHeight="1">
      <c r="A1047" s="14"/>
      <c r="B1047" s="77"/>
      <c r="C1047" s="78"/>
      <c r="D1047" s="132" t="s">
        <v>990</v>
      </c>
      <c r="E1047" s="133"/>
      <c r="F1047" s="133"/>
      <c r="G1047" s="133"/>
      <c r="H1047" s="133"/>
      <c r="I1047" s="1621">
        <f>AY1002</f>
        <v>99</v>
      </c>
      <c r="J1047" s="1622"/>
      <c r="K1047" s="7"/>
      <c r="L1047" s="133"/>
      <c r="M1047" s="133"/>
      <c r="N1047" s="133"/>
      <c r="O1047" s="133"/>
      <c r="P1047" s="133"/>
      <c r="Q1047" s="133"/>
      <c r="R1047" s="133"/>
      <c r="S1047" s="133"/>
      <c r="T1047" s="133"/>
      <c r="U1047" s="133"/>
      <c r="V1047" s="134" t="s">
        <v>991</v>
      </c>
      <c r="W1047" s="48"/>
      <c r="X1047" s="1619">
        <f>BG632</f>
        <v>21</v>
      </c>
      <c r="Y1047" s="1620"/>
      <c r="Z1047" s="48"/>
      <c r="AA1047" s="48"/>
      <c r="AB1047" s="48"/>
      <c r="AC1047" s="48"/>
      <c r="AD1047" s="48"/>
      <c r="AE1047" s="49"/>
      <c r="AF1047" s="959"/>
      <c r="AG1047" s="960"/>
      <c r="AH1047" s="960"/>
      <c r="AI1047" s="961"/>
      <c r="AJ1047" s="1556"/>
      <c r="AK1047" s="1557"/>
      <c r="AL1047" s="1557"/>
      <c r="AM1047" s="1557"/>
      <c r="AN1047" s="1557"/>
      <c r="AO1047" s="1557"/>
      <c r="AP1047" s="1557"/>
      <c r="AQ1047" s="1558"/>
      <c r="AR1047" s="68"/>
      <c r="AS1047" s="68"/>
      <c r="AT1047" s="68"/>
      <c r="AU1047" s="14"/>
      <c r="AV1047" s="68"/>
      <c r="AW1047" s="68"/>
      <c r="AX1047" s="68"/>
      <c r="AY1047" s="68"/>
    </row>
    <row r="1048" spans="1:51" ht="13.05" customHeight="1">
      <c r="A1048" s="14"/>
      <c r="B1048" s="79"/>
      <c r="C1048" s="131" t="s">
        <v>1872</v>
      </c>
      <c r="D1048" s="1515" t="s">
        <v>2527</v>
      </c>
      <c r="E1048" s="1516"/>
      <c r="F1048" s="1516"/>
      <c r="G1048" s="1516"/>
      <c r="H1048" s="1516"/>
      <c r="I1048" s="1516"/>
      <c r="J1048" s="1516"/>
      <c r="K1048" s="1516"/>
      <c r="L1048" s="1516"/>
      <c r="M1048" s="1516"/>
      <c r="N1048" s="1516"/>
      <c r="O1048" s="1516"/>
      <c r="P1048" s="1516"/>
      <c r="Q1048" s="1516"/>
      <c r="R1048" s="1516"/>
      <c r="S1048" s="1516"/>
      <c r="T1048" s="1516"/>
      <c r="U1048" s="1516"/>
      <c r="V1048" s="1516"/>
      <c r="W1048" s="1516"/>
      <c r="X1048" s="1516"/>
      <c r="Y1048" s="1516"/>
      <c r="Z1048" s="1516"/>
      <c r="AA1048" s="1516"/>
      <c r="AB1048" s="1516"/>
      <c r="AC1048" s="1516"/>
      <c r="AD1048" s="1516"/>
      <c r="AE1048" s="1517"/>
      <c r="AF1048" s="73"/>
      <c r="AG1048" s="1609" t="str">
        <f>IF(X1051&gt;0,"Yes","No")</f>
        <v>Yes</v>
      </c>
      <c r="AH1048" s="1610"/>
      <c r="AI1048" s="83"/>
      <c r="AJ1048" s="1550">
        <f>IF((X1051=0),0,(2*AY1005)*AJ991)</f>
        <v>25425814.48</v>
      </c>
      <c r="AK1048" s="1551"/>
      <c r="AL1048" s="1551"/>
      <c r="AM1048" s="1551"/>
      <c r="AN1048" s="1551"/>
      <c r="AO1048" s="1551"/>
      <c r="AP1048" s="1551"/>
      <c r="AQ1048" s="1552"/>
      <c r="AR1048" s="68"/>
      <c r="AS1048" s="68"/>
      <c r="AT1048" s="68"/>
      <c r="AU1048" s="14"/>
      <c r="AV1048" s="68"/>
      <c r="AW1048" s="68"/>
      <c r="AX1048" s="68"/>
      <c r="AY1048" s="68"/>
    </row>
    <row r="1049" spans="1:51" ht="13.05" customHeight="1">
      <c r="A1049" s="14"/>
      <c r="B1049" s="73"/>
      <c r="C1049" s="476"/>
      <c r="D1049" s="1503" t="s">
        <v>1406</v>
      </c>
      <c r="E1049" s="1504"/>
      <c r="F1049" s="1504"/>
      <c r="G1049" s="1504"/>
      <c r="H1049" s="1504"/>
      <c r="I1049" s="1504"/>
      <c r="J1049" s="1504"/>
      <c r="K1049" s="1504"/>
      <c r="L1049" s="1504"/>
      <c r="M1049" s="1504"/>
      <c r="N1049" s="1504"/>
      <c r="O1049" s="1504"/>
      <c r="P1049" s="1504"/>
      <c r="Q1049" s="1504"/>
      <c r="R1049" s="1504"/>
      <c r="S1049" s="1504"/>
      <c r="T1049" s="1504"/>
      <c r="U1049" s="1504"/>
      <c r="V1049" s="1504"/>
      <c r="W1049" s="1504"/>
      <c r="X1049" s="1504"/>
      <c r="Y1049" s="1504"/>
      <c r="Z1049" s="1504"/>
      <c r="AA1049" s="1504"/>
      <c r="AB1049" s="1504"/>
      <c r="AC1049" s="1504"/>
      <c r="AD1049" s="1504"/>
      <c r="AE1049" s="1505"/>
      <c r="AF1049" s="73"/>
      <c r="AG1049" s="477"/>
      <c r="AH1049" s="477"/>
      <c r="AI1049" s="83"/>
      <c r="AJ1049" s="1553"/>
      <c r="AK1049" s="1554"/>
      <c r="AL1049" s="1554"/>
      <c r="AM1049" s="1554"/>
      <c r="AN1049" s="1554"/>
      <c r="AO1049" s="1554"/>
      <c r="AP1049" s="1554"/>
      <c r="AQ1049" s="1555"/>
      <c r="AR1049" s="68"/>
      <c r="AS1049" s="68"/>
      <c r="AT1049" s="68"/>
      <c r="AU1049" s="68"/>
      <c r="AV1049" s="68"/>
      <c r="AW1049" s="68"/>
      <c r="AX1049" s="68"/>
      <c r="AY1049" s="68"/>
    </row>
    <row r="1050" spans="1:51" ht="13.05" customHeight="1">
      <c r="A1050" s="14"/>
      <c r="B1050" s="73"/>
      <c r="C1050" s="83"/>
      <c r="D1050" s="1503"/>
      <c r="E1050" s="1504"/>
      <c r="F1050" s="1504"/>
      <c r="G1050" s="1504"/>
      <c r="H1050" s="1504"/>
      <c r="I1050" s="1504"/>
      <c r="J1050" s="1504"/>
      <c r="K1050" s="1504"/>
      <c r="L1050" s="1504"/>
      <c r="M1050" s="1504"/>
      <c r="N1050" s="1504"/>
      <c r="O1050" s="1504"/>
      <c r="P1050" s="1504"/>
      <c r="Q1050" s="1504"/>
      <c r="R1050" s="1504"/>
      <c r="S1050" s="1504"/>
      <c r="T1050" s="1504"/>
      <c r="U1050" s="1504"/>
      <c r="V1050" s="1504"/>
      <c r="W1050" s="1504"/>
      <c r="X1050" s="1504"/>
      <c r="Y1050" s="1504"/>
      <c r="Z1050" s="1504"/>
      <c r="AA1050" s="1504"/>
      <c r="AB1050" s="1504"/>
      <c r="AC1050" s="1504"/>
      <c r="AD1050" s="1504"/>
      <c r="AE1050" s="1505"/>
      <c r="AF1050" s="956"/>
      <c r="AG1050" s="957"/>
      <c r="AH1050" s="957"/>
      <c r="AI1050" s="958"/>
      <c r="AJ1050" s="1553"/>
      <c r="AK1050" s="1554"/>
      <c r="AL1050" s="1554"/>
      <c r="AM1050" s="1554"/>
      <c r="AN1050" s="1554"/>
      <c r="AO1050" s="1554"/>
      <c r="AP1050" s="1554"/>
      <c r="AQ1050" s="1555"/>
      <c r="AR1050" s="68"/>
      <c r="AS1050" s="68"/>
      <c r="AT1050" s="68"/>
      <c r="AU1050" s="68"/>
      <c r="AV1050" s="68"/>
      <c r="AW1050" s="68"/>
      <c r="AX1050" s="68"/>
      <c r="AY1050" s="68"/>
    </row>
    <row r="1051" spans="1:51" ht="13.05" customHeight="1">
      <c r="A1051" s="14"/>
      <c r="B1051" s="77"/>
      <c r="C1051" s="78"/>
      <c r="D1051" s="132" t="s">
        <v>990</v>
      </c>
      <c r="E1051" s="133"/>
      <c r="F1051" s="133"/>
      <c r="G1051" s="133"/>
      <c r="H1051" s="133"/>
      <c r="I1051" s="1621">
        <f>AY1002</f>
        <v>99</v>
      </c>
      <c r="J1051" s="1622"/>
      <c r="K1051" s="14"/>
      <c r="L1051" s="133"/>
      <c r="M1051" s="133"/>
      <c r="N1051" s="133"/>
      <c r="O1051" s="133"/>
      <c r="P1051" s="133"/>
      <c r="Q1051" s="133"/>
      <c r="R1051" s="133"/>
      <c r="S1051" s="133"/>
      <c r="T1051" s="133"/>
      <c r="U1051" s="133"/>
      <c r="V1051" s="134" t="s">
        <v>992</v>
      </c>
      <c r="X1051" s="1619">
        <f>BK632</f>
        <v>22</v>
      </c>
      <c r="Y1051" s="1620"/>
      <c r="AF1051" s="959"/>
      <c r="AG1051" s="960"/>
      <c r="AH1051" s="960"/>
      <c r="AI1051" s="961"/>
      <c r="AJ1051" s="1556"/>
      <c r="AK1051" s="1557"/>
      <c r="AL1051" s="1557"/>
      <c r="AM1051" s="1557"/>
      <c r="AN1051" s="1557"/>
      <c r="AO1051" s="1557"/>
      <c r="AP1051" s="1557"/>
      <c r="AQ1051" s="1558"/>
      <c r="AR1051" s="68"/>
      <c r="AS1051" s="68"/>
      <c r="AT1051" s="68"/>
      <c r="AU1051" s="68"/>
      <c r="AV1051" s="68"/>
      <c r="AW1051" s="68"/>
      <c r="AX1051" s="68"/>
      <c r="AY1051" s="68"/>
    </row>
    <row r="1052" spans="1:51" ht="13.05" customHeight="1">
      <c r="A1052" s="14"/>
      <c r="B1052" s="102"/>
      <c r="C1052" s="103"/>
      <c r="D1052" s="1617" t="s">
        <v>521</v>
      </c>
      <c r="E1052" s="1617"/>
      <c r="F1052" s="1617"/>
      <c r="G1052" s="1617"/>
      <c r="H1052" s="1617"/>
      <c r="I1052" s="1617"/>
      <c r="J1052" s="1617"/>
      <c r="K1052" s="1617"/>
      <c r="L1052" s="1617"/>
      <c r="M1052" s="1617"/>
      <c r="N1052" s="1617"/>
      <c r="O1052" s="1617"/>
      <c r="P1052" s="1617"/>
      <c r="Q1052" s="1617"/>
      <c r="R1052" s="1617"/>
      <c r="S1052" s="1617"/>
      <c r="T1052" s="1617"/>
      <c r="U1052" s="1617"/>
      <c r="V1052" s="1617"/>
      <c r="W1052" s="1617"/>
      <c r="X1052" s="1617"/>
      <c r="Y1052" s="1617"/>
      <c r="Z1052" s="1617"/>
      <c r="AA1052" s="1617"/>
      <c r="AB1052" s="1617"/>
      <c r="AC1052" s="1617"/>
      <c r="AD1052" s="1617"/>
      <c r="AE1052" s="1617"/>
      <c r="AF1052" s="1617"/>
      <c r="AG1052" s="1617"/>
      <c r="AH1052" s="1617"/>
      <c r="AI1052" s="1618"/>
      <c r="AJ1052" s="1606">
        <f>SUM(AJ991:AQ1051)</f>
        <v>109143291.3</v>
      </c>
      <c r="AK1052" s="1607"/>
      <c r="AL1052" s="1607"/>
      <c r="AM1052" s="1607"/>
      <c r="AN1052" s="1607"/>
      <c r="AO1052" s="1607"/>
      <c r="AP1052" s="1607"/>
      <c r="AQ1052" s="1608"/>
      <c r="AR1052" s="68"/>
      <c r="AS1052" s="68"/>
      <c r="AT1052" s="68"/>
      <c r="AU1052" s="68"/>
      <c r="AV1052" s="68"/>
      <c r="AW1052" s="68"/>
      <c r="AX1052" s="68"/>
      <c r="AY1052" s="68"/>
    </row>
    <row r="1053" spans="1:51" ht="13.0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0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0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0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0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0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05" customHeight="1">
      <c r="A1059" s="88"/>
      <c r="B1059" s="1409">
        <f>IF(ISNA(IF((AJ1019&gt;(AJ991*0.15)),"(f) cannot be greater than 15% of unadjusted eligible basis.",0)),"",(IF((AJ1019&gt;(AJ991*0.15)),"(f) cannot be greater than 15% of unadjusted eligible basis.",0)))</f>
        <v>0</v>
      </c>
      <c r="C1059" s="1409"/>
      <c r="D1059" s="1409"/>
      <c r="E1059" s="1409"/>
      <c r="F1059" s="1409"/>
      <c r="G1059" s="1409"/>
      <c r="H1059" s="1409"/>
      <c r="I1059" s="1409"/>
      <c r="J1059" s="1409"/>
      <c r="K1059" s="1409"/>
      <c r="L1059" s="1409"/>
      <c r="M1059" s="1409"/>
      <c r="N1059" s="1409"/>
      <c r="O1059" s="1409"/>
      <c r="P1059" s="1409"/>
      <c r="Q1059" s="1409"/>
      <c r="R1059" s="1409"/>
      <c r="S1059" s="1409"/>
      <c r="T1059" s="1409"/>
      <c r="U1059" s="1409"/>
      <c r="V1059" s="1409"/>
      <c r="W1059" s="1409"/>
      <c r="X1059" s="1409"/>
      <c r="Y1059" s="1409"/>
      <c r="Z1059" s="1409"/>
      <c r="AA1059" s="1409"/>
      <c r="AB1059" s="1409"/>
      <c r="AC1059" s="1409"/>
      <c r="AD1059" s="1409"/>
      <c r="AE1059" s="1409"/>
      <c r="AF1059" s="1409"/>
      <c r="AG1059" s="1409"/>
      <c r="AH1059" s="1409"/>
      <c r="AI1059" s="1409"/>
      <c r="AJ1059" s="1409"/>
      <c r="AK1059" s="1409"/>
      <c r="AL1059" s="1409"/>
      <c r="AM1059" s="1409"/>
      <c r="AN1059" s="1409"/>
      <c r="AO1059" s="1409"/>
      <c r="AP1059" s="1409"/>
      <c r="AQ1059" s="68"/>
      <c r="AR1059" s="68"/>
      <c r="AS1059" s="68"/>
      <c r="AT1059" s="68"/>
      <c r="AU1059" s="68"/>
      <c r="AV1059" s="68"/>
      <c r="AW1059" s="68"/>
      <c r="AX1059" s="68"/>
      <c r="AY1059" s="68"/>
    </row>
    <row r="1060" spans="1:51" ht="13.05" customHeight="1">
      <c r="A1060" s="1304" t="s">
        <v>802</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0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0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0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05" customHeight="1">
      <c r="A1064" s="1415" t="s">
        <v>599</v>
      </c>
      <c r="B1064" s="1415"/>
      <c r="C1064" s="8">
        <v>1</v>
      </c>
      <c r="D1064" s="1268" t="s">
        <v>1132</v>
      </c>
      <c r="E1064" s="1268"/>
      <c r="F1064" s="1268"/>
      <c r="G1064" s="1268"/>
      <c r="H1064" s="1268"/>
      <c r="I1064" s="1268"/>
      <c r="J1064" s="1268"/>
      <c r="K1064" s="1268"/>
      <c r="L1064" s="1268"/>
      <c r="M1064" s="1268"/>
      <c r="N1064" s="1268"/>
      <c r="O1064" s="1268"/>
      <c r="P1064" s="1268"/>
      <c r="Q1064" s="1268"/>
      <c r="R1064" s="1268"/>
      <c r="S1064" s="1268"/>
      <c r="T1064" s="1268"/>
      <c r="U1064" s="1268"/>
      <c r="V1064" s="1268"/>
      <c r="W1064" s="1268"/>
      <c r="X1064" s="1268"/>
      <c r="Y1064" s="1268"/>
      <c r="Z1064" s="1268"/>
      <c r="AA1064" s="1268"/>
      <c r="AB1064" s="1268"/>
      <c r="AC1064" s="1268"/>
      <c r="AD1064" s="1268"/>
      <c r="AE1064" s="1268"/>
      <c r="AF1064" s="1268"/>
      <c r="AG1064" s="1268"/>
      <c r="AH1064" s="1268"/>
      <c r="AI1064" s="1268"/>
      <c r="AJ1064" s="1268"/>
      <c r="AK1064" s="1268"/>
      <c r="AL1064" s="68"/>
      <c r="AM1064" s="68"/>
      <c r="AN1064" s="68"/>
      <c r="AO1064" s="68"/>
      <c r="AP1064" s="68"/>
      <c r="AQ1064" s="68"/>
      <c r="AR1064" s="68"/>
      <c r="AS1064" s="68"/>
      <c r="AT1064" s="68"/>
      <c r="AV1064" s="68"/>
      <c r="AW1064" s="68"/>
      <c r="AX1064" s="68"/>
      <c r="AY1064" s="68"/>
    </row>
    <row r="1065" spans="1:51" ht="13.05" customHeight="1">
      <c r="A1065" s="1"/>
      <c r="B1065" s="1"/>
      <c r="C1065" s="8"/>
      <c r="D1065" s="1268"/>
      <c r="E1065" s="1268"/>
      <c r="F1065" s="1268"/>
      <c r="G1065" s="1268"/>
      <c r="H1065" s="1268"/>
      <c r="I1065" s="1268"/>
      <c r="J1065" s="1268"/>
      <c r="K1065" s="1268"/>
      <c r="L1065" s="1268"/>
      <c r="M1065" s="1268"/>
      <c r="N1065" s="1268"/>
      <c r="O1065" s="1268"/>
      <c r="P1065" s="1268"/>
      <c r="Q1065" s="1268"/>
      <c r="R1065" s="1268"/>
      <c r="S1065" s="1268"/>
      <c r="T1065" s="1268"/>
      <c r="U1065" s="1268"/>
      <c r="V1065" s="1268"/>
      <c r="W1065" s="1268"/>
      <c r="X1065" s="1268"/>
      <c r="Y1065" s="1268"/>
      <c r="Z1065" s="1268"/>
      <c r="AA1065" s="1268"/>
      <c r="AB1065" s="1268"/>
      <c r="AC1065" s="1268"/>
      <c r="AD1065" s="1268"/>
      <c r="AE1065" s="1268"/>
      <c r="AF1065" s="1268"/>
      <c r="AG1065" s="1268"/>
      <c r="AH1065" s="1268"/>
      <c r="AI1065" s="1268"/>
      <c r="AJ1065" s="1268"/>
      <c r="AK1065" s="1268"/>
      <c r="AL1065" s="68"/>
      <c r="AM1065" s="68"/>
      <c r="AN1065" s="68"/>
      <c r="AO1065" s="68"/>
      <c r="AP1065" s="68"/>
      <c r="AQ1065" s="68"/>
      <c r="AR1065" s="68"/>
      <c r="AS1065" s="68"/>
      <c r="AT1065" s="68"/>
      <c r="AV1065" s="68"/>
      <c r="AW1065" s="68"/>
      <c r="AX1065" s="68"/>
      <c r="AY1065" s="68"/>
    </row>
    <row r="1066" spans="1:51" ht="13.05" customHeight="1">
      <c r="A1066" s="1"/>
      <c r="B1066" s="1"/>
      <c r="C1066" s="8"/>
      <c r="D1066" s="1268"/>
      <c r="E1066" s="1268"/>
      <c r="F1066" s="1268"/>
      <c r="G1066" s="1268"/>
      <c r="H1066" s="1268"/>
      <c r="I1066" s="1268"/>
      <c r="J1066" s="1268"/>
      <c r="K1066" s="1268"/>
      <c r="L1066" s="1268"/>
      <c r="M1066" s="1268"/>
      <c r="N1066" s="1268"/>
      <c r="O1066" s="1268"/>
      <c r="P1066" s="1268"/>
      <c r="Q1066" s="1268"/>
      <c r="R1066" s="1268"/>
      <c r="S1066" s="1268"/>
      <c r="T1066" s="1268"/>
      <c r="U1066" s="1268"/>
      <c r="V1066" s="1268"/>
      <c r="W1066" s="1268"/>
      <c r="X1066" s="1268"/>
      <c r="Y1066" s="1268"/>
      <c r="Z1066" s="1268"/>
      <c r="AA1066" s="1268"/>
      <c r="AB1066" s="1268"/>
      <c r="AC1066" s="1268"/>
      <c r="AD1066" s="1268"/>
      <c r="AE1066" s="1268"/>
      <c r="AF1066" s="1268"/>
      <c r="AG1066" s="1268"/>
      <c r="AH1066" s="1268"/>
      <c r="AI1066" s="1268"/>
      <c r="AJ1066" s="1268"/>
      <c r="AK1066" s="1268"/>
      <c r="AL1066" s="68"/>
      <c r="AM1066" s="68"/>
      <c r="AN1066" s="68"/>
      <c r="AO1066" s="68"/>
      <c r="AP1066" s="68"/>
      <c r="AQ1066" s="68"/>
      <c r="AR1066" s="68"/>
      <c r="AS1066" s="68"/>
      <c r="AT1066" s="68"/>
      <c r="AV1066" s="68"/>
      <c r="AW1066" s="68"/>
      <c r="AX1066" s="68"/>
      <c r="AY1066" s="68"/>
    </row>
    <row r="1067" spans="1:51" ht="13.05" customHeight="1">
      <c r="A1067" s="1"/>
      <c r="B1067" s="1"/>
      <c r="C1067" s="8"/>
      <c r="D1067" s="1268"/>
      <c r="E1067" s="1268"/>
      <c r="F1067" s="1268"/>
      <c r="G1067" s="1268"/>
      <c r="H1067" s="1268"/>
      <c r="I1067" s="1268"/>
      <c r="J1067" s="1268"/>
      <c r="K1067" s="1268"/>
      <c r="L1067" s="1268"/>
      <c r="M1067" s="1268"/>
      <c r="N1067" s="1268"/>
      <c r="O1067" s="1268"/>
      <c r="P1067" s="1268"/>
      <c r="Q1067" s="1268"/>
      <c r="R1067" s="1268"/>
      <c r="S1067" s="1268"/>
      <c r="T1067" s="1268"/>
      <c r="U1067" s="1268"/>
      <c r="V1067" s="1268"/>
      <c r="W1067" s="1268"/>
      <c r="X1067" s="1268"/>
      <c r="Y1067" s="1268"/>
      <c r="Z1067" s="1268"/>
      <c r="AA1067" s="1268"/>
      <c r="AB1067" s="1268"/>
      <c r="AC1067" s="1268"/>
      <c r="AD1067" s="1268"/>
      <c r="AE1067" s="1268"/>
      <c r="AF1067" s="1268"/>
      <c r="AG1067" s="1268"/>
      <c r="AH1067" s="1268"/>
      <c r="AI1067" s="1268"/>
      <c r="AJ1067" s="1268"/>
      <c r="AK1067" s="1268"/>
      <c r="AL1067" s="68"/>
      <c r="AM1067" s="68"/>
      <c r="AN1067" s="68"/>
      <c r="AO1067" s="68"/>
      <c r="AP1067" s="68"/>
      <c r="AQ1067" s="68"/>
      <c r="AR1067" s="68"/>
      <c r="AS1067" s="68"/>
      <c r="AT1067" s="68"/>
      <c r="AV1067" s="68"/>
      <c r="AW1067" s="68"/>
      <c r="AX1067" s="68"/>
      <c r="AY1067" s="68"/>
    </row>
    <row r="1068" spans="1:51" ht="13.05" customHeight="1">
      <c r="A1068" s="1"/>
      <c r="B1068" s="1"/>
      <c r="C1068" s="8"/>
      <c r="D1068" s="1268"/>
      <c r="E1068" s="1268"/>
      <c r="F1068" s="1268"/>
      <c r="G1068" s="1268"/>
      <c r="H1068" s="1268"/>
      <c r="I1068" s="1268"/>
      <c r="J1068" s="1268"/>
      <c r="K1068" s="1268"/>
      <c r="L1068" s="1268"/>
      <c r="M1068" s="1268"/>
      <c r="N1068" s="1268"/>
      <c r="O1068" s="1268"/>
      <c r="P1068" s="1268"/>
      <c r="Q1068" s="1268"/>
      <c r="R1068" s="1268"/>
      <c r="S1068" s="1268"/>
      <c r="T1068" s="1268"/>
      <c r="U1068" s="1268"/>
      <c r="V1068" s="1268"/>
      <c r="W1068" s="1268"/>
      <c r="X1068" s="1268"/>
      <c r="Y1068" s="1268"/>
      <c r="Z1068" s="1268"/>
      <c r="AA1068" s="1268"/>
      <c r="AB1068" s="1268"/>
      <c r="AC1068" s="1268"/>
      <c r="AD1068" s="1268"/>
      <c r="AE1068" s="1268"/>
      <c r="AF1068" s="1268"/>
      <c r="AG1068" s="1268"/>
      <c r="AH1068" s="1268"/>
      <c r="AI1068" s="1268"/>
      <c r="AJ1068" s="1268"/>
      <c r="AK1068" s="1268"/>
      <c r="AL1068" s="68"/>
      <c r="AM1068" s="68"/>
      <c r="AN1068" s="68"/>
      <c r="AO1068" s="68"/>
      <c r="AP1068" s="68"/>
      <c r="AQ1068" s="68"/>
      <c r="AR1068" s="68"/>
      <c r="AS1068" s="68"/>
      <c r="AT1068" s="68"/>
      <c r="AV1068" s="68"/>
      <c r="AW1068" s="68"/>
      <c r="AX1068" s="68"/>
      <c r="AY1068" s="68"/>
    </row>
    <row r="1069" spans="1:51" ht="13.05" customHeight="1">
      <c r="A1069" s="2"/>
      <c r="B1069" s="25"/>
      <c r="C1069" s="8"/>
      <c r="D1069" s="1268"/>
      <c r="E1069" s="1268"/>
      <c r="F1069" s="1268"/>
      <c r="G1069" s="1268"/>
      <c r="H1069" s="1268"/>
      <c r="I1069" s="1268"/>
      <c r="J1069" s="1268"/>
      <c r="K1069" s="1268"/>
      <c r="L1069" s="1268"/>
      <c r="M1069" s="1268"/>
      <c r="N1069" s="1268"/>
      <c r="O1069" s="1268"/>
      <c r="P1069" s="1268"/>
      <c r="Q1069" s="1268"/>
      <c r="R1069" s="1268"/>
      <c r="S1069" s="1268"/>
      <c r="T1069" s="1268"/>
      <c r="U1069" s="1268"/>
      <c r="V1069" s="1268"/>
      <c r="W1069" s="1268"/>
      <c r="X1069" s="1268"/>
      <c r="Y1069" s="1268"/>
      <c r="Z1069" s="1268"/>
      <c r="AA1069" s="1268"/>
      <c r="AB1069" s="1268"/>
      <c r="AC1069" s="1268"/>
      <c r="AD1069" s="1268"/>
      <c r="AE1069" s="1268"/>
      <c r="AF1069" s="1268"/>
      <c r="AG1069" s="1268"/>
      <c r="AH1069" s="1268"/>
      <c r="AI1069" s="1268"/>
      <c r="AJ1069" s="1268"/>
      <c r="AK1069" s="1268"/>
      <c r="AL1069" s="68"/>
      <c r="AM1069" s="68"/>
      <c r="AN1069" s="68"/>
      <c r="AO1069" s="68"/>
      <c r="AP1069" s="68"/>
      <c r="AQ1069" s="68"/>
      <c r="AR1069" s="68"/>
      <c r="AS1069" s="68"/>
      <c r="AT1069" s="68"/>
      <c r="AV1069" s="68"/>
      <c r="AW1069" s="68"/>
      <c r="AX1069" s="68"/>
      <c r="AY1069" s="68"/>
    </row>
    <row r="1070" spans="1:51" ht="13.05" customHeight="1">
      <c r="A1070" s="1415" t="s">
        <v>599</v>
      </c>
      <c r="B1070" s="1415"/>
      <c r="C1070" s="8">
        <v>2</v>
      </c>
      <c r="D1070" s="1268" t="s">
        <v>1131</v>
      </c>
      <c r="E1070" s="1268"/>
      <c r="F1070" s="1268"/>
      <c r="G1070" s="1268"/>
      <c r="H1070" s="1268"/>
      <c r="I1070" s="1268"/>
      <c r="J1070" s="1268"/>
      <c r="K1070" s="1268"/>
      <c r="L1070" s="1268"/>
      <c r="M1070" s="1268"/>
      <c r="N1070" s="1268"/>
      <c r="O1070" s="1268"/>
      <c r="P1070" s="1268"/>
      <c r="Q1070" s="1268"/>
      <c r="R1070" s="1268"/>
      <c r="S1070" s="1268"/>
      <c r="T1070" s="1268"/>
      <c r="U1070" s="1268"/>
      <c r="V1070" s="1268"/>
      <c r="W1070" s="1268"/>
      <c r="X1070" s="1268"/>
      <c r="Y1070" s="1268"/>
      <c r="Z1070" s="1268"/>
      <c r="AA1070" s="1268"/>
      <c r="AB1070" s="1268"/>
      <c r="AC1070" s="1268"/>
      <c r="AD1070" s="1268"/>
      <c r="AE1070" s="1268"/>
      <c r="AF1070" s="1268"/>
      <c r="AG1070" s="1268"/>
      <c r="AH1070" s="1268"/>
      <c r="AI1070" s="1268"/>
      <c r="AJ1070" s="1268"/>
      <c r="AK1070" s="1268"/>
      <c r="AL1070" s="68"/>
      <c r="AM1070" s="68"/>
      <c r="AN1070" s="68"/>
      <c r="AO1070" s="68"/>
      <c r="AP1070" s="68"/>
      <c r="AQ1070" s="68"/>
      <c r="AR1070" s="68"/>
      <c r="AS1070" s="68"/>
      <c r="AT1070" s="68"/>
    </row>
    <row r="1071" spans="1:51" ht="13.05" customHeight="1">
      <c r="A1071" s="1"/>
      <c r="B1071" s="1"/>
      <c r="C1071" s="8"/>
      <c r="D1071" s="1268"/>
      <c r="E1071" s="1268"/>
      <c r="F1071" s="1268"/>
      <c r="G1071" s="1268"/>
      <c r="H1071" s="1268"/>
      <c r="I1071" s="1268"/>
      <c r="J1071" s="1268"/>
      <c r="K1071" s="1268"/>
      <c r="L1071" s="1268"/>
      <c r="M1071" s="1268"/>
      <c r="N1071" s="1268"/>
      <c r="O1071" s="1268"/>
      <c r="P1071" s="1268"/>
      <c r="Q1071" s="1268"/>
      <c r="R1071" s="1268"/>
      <c r="S1071" s="1268"/>
      <c r="T1071" s="1268"/>
      <c r="U1071" s="1268"/>
      <c r="V1071" s="1268"/>
      <c r="W1071" s="1268"/>
      <c r="X1071" s="1268"/>
      <c r="Y1071" s="1268"/>
      <c r="Z1071" s="1268"/>
      <c r="AA1071" s="1268"/>
      <c r="AB1071" s="1268"/>
      <c r="AC1071" s="1268"/>
      <c r="AD1071" s="1268"/>
      <c r="AE1071" s="1268"/>
      <c r="AF1071" s="1268"/>
      <c r="AG1071" s="1268"/>
      <c r="AH1071" s="1268"/>
      <c r="AI1071" s="1268"/>
      <c r="AJ1071" s="1268"/>
      <c r="AK1071" s="1268"/>
      <c r="AL1071" s="68"/>
      <c r="AM1071" s="68"/>
      <c r="AN1071" s="68"/>
      <c r="AO1071" s="68"/>
      <c r="AP1071" s="68"/>
      <c r="AQ1071" s="68"/>
      <c r="AR1071" s="68"/>
      <c r="AS1071" s="68"/>
      <c r="AT1071" s="68"/>
    </row>
    <row r="1072" spans="1:51" ht="13.05" customHeight="1">
      <c r="A1072" s="1"/>
      <c r="B1072" s="1"/>
      <c r="C1072" s="8"/>
      <c r="D1072" s="1268"/>
      <c r="E1072" s="1268"/>
      <c r="F1072" s="1268"/>
      <c r="G1072" s="1268"/>
      <c r="H1072" s="1268"/>
      <c r="I1072" s="1268"/>
      <c r="J1072" s="1268"/>
      <c r="K1072" s="1268"/>
      <c r="L1072" s="1268"/>
      <c r="M1072" s="1268"/>
      <c r="N1072" s="1268"/>
      <c r="O1072" s="1268"/>
      <c r="P1072" s="1268"/>
      <c r="Q1072" s="1268"/>
      <c r="R1072" s="1268"/>
      <c r="S1072" s="1268"/>
      <c r="T1072" s="1268"/>
      <c r="U1072" s="1268"/>
      <c r="V1072" s="1268"/>
      <c r="W1072" s="1268"/>
      <c r="X1072" s="1268"/>
      <c r="Y1072" s="1268"/>
      <c r="Z1072" s="1268"/>
      <c r="AA1072" s="1268"/>
      <c r="AB1072" s="1268"/>
      <c r="AC1072" s="1268"/>
      <c r="AD1072" s="1268"/>
      <c r="AE1072" s="1268"/>
      <c r="AF1072" s="1268"/>
      <c r="AG1072" s="1268"/>
      <c r="AH1072" s="1268"/>
      <c r="AI1072" s="1268"/>
      <c r="AJ1072" s="1268"/>
      <c r="AK1072" s="1268"/>
      <c r="AL1072" s="68"/>
      <c r="AM1072" s="68"/>
      <c r="AN1072" s="68"/>
      <c r="AO1072" s="68"/>
      <c r="AP1072" s="68"/>
      <c r="AQ1072" s="68"/>
      <c r="AR1072" s="68"/>
      <c r="AS1072" s="68"/>
      <c r="AT1072" s="68"/>
    </row>
    <row r="1073" spans="1:46" ht="13.05" customHeight="1">
      <c r="A1073" s="1"/>
      <c r="B1073" s="1"/>
      <c r="C1073" s="8"/>
      <c r="D1073" s="1268"/>
      <c r="E1073" s="1268"/>
      <c r="F1073" s="1268"/>
      <c r="G1073" s="1268"/>
      <c r="H1073" s="1268"/>
      <c r="I1073" s="1268"/>
      <c r="J1073" s="1268"/>
      <c r="K1073" s="1268"/>
      <c r="L1073" s="1268"/>
      <c r="M1073" s="1268"/>
      <c r="N1073" s="1268"/>
      <c r="O1073" s="1268"/>
      <c r="P1073" s="1268"/>
      <c r="Q1073" s="1268"/>
      <c r="R1073" s="1268"/>
      <c r="S1073" s="1268"/>
      <c r="T1073" s="1268"/>
      <c r="U1073" s="1268"/>
      <c r="V1073" s="1268"/>
      <c r="W1073" s="1268"/>
      <c r="X1073" s="1268"/>
      <c r="Y1073" s="1268"/>
      <c r="Z1073" s="1268"/>
      <c r="AA1073" s="1268"/>
      <c r="AB1073" s="1268"/>
      <c r="AC1073" s="1268"/>
      <c r="AD1073" s="1268"/>
      <c r="AE1073" s="1268"/>
      <c r="AF1073" s="1268"/>
      <c r="AG1073" s="1268"/>
      <c r="AH1073" s="1268"/>
      <c r="AI1073" s="1268"/>
      <c r="AJ1073" s="1268"/>
      <c r="AK1073" s="1268"/>
      <c r="AL1073" s="68"/>
      <c r="AM1073" s="68"/>
      <c r="AN1073" s="68"/>
      <c r="AO1073" s="68"/>
      <c r="AP1073" s="68"/>
      <c r="AQ1073" s="68"/>
      <c r="AR1073" s="68"/>
      <c r="AS1073" s="68"/>
      <c r="AT1073" s="68"/>
    </row>
    <row r="1074" spans="1:46" ht="13.05" hidden="1" customHeight="1">
      <c r="A1074" s="1"/>
      <c r="B1074" s="1"/>
      <c r="C1074" s="8"/>
      <c r="D1074" s="1268"/>
      <c r="E1074" s="1268"/>
      <c r="F1074" s="1268"/>
      <c r="G1074" s="1268"/>
      <c r="H1074" s="1268"/>
      <c r="I1074" s="1268"/>
      <c r="J1074" s="1268"/>
      <c r="K1074" s="1268"/>
      <c r="L1074" s="1268"/>
      <c r="M1074" s="1268"/>
      <c r="N1074" s="1268"/>
      <c r="O1074" s="1268"/>
      <c r="P1074" s="1268"/>
      <c r="Q1074" s="1268"/>
      <c r="R1074" s="1268"/>
      <c r="S1074" s="1268"/>
      <c r="T1074" s="1268"/>
      <c r="U1074" s="1268"/>
      <c r="V1074" s="1268"/>
      <c r="W1074" s="1268"/>
      <c r="X1074" s="1268"/>
      <c r="Y1074" s="1268"/>
      <c r="Z1074" s="1268"/>
      <c r="AA1074" s="1268"/>
      <c r="AB1074" s="1268"/>
      <c r="AC1074" s="1268"/>
      <c r="AD1074" s="1268"/>
      <c r="AE1074" s="1268"/>
      <c r="AF1074" s="1268"/>
      <c r="AG1074" s="1268"/>
      <c r="AH1074" s="1268"/>
      <c r="AI1074" s="1268"/>
      <c r="AJ1074" s="1268"/>
      <c r="AK1074" s="1268"/>
      <c r="AL1074" s="68"/>
      <c r="AM1074" s="68"/>
      <c r="AN1074" s="68"/>
      <c r="AO1074" s="68"/>
      <c r="AP1074" s="68"/>
      <c r="AQ1074" s="68"/>
      <c r="AR1074" s="68"/>
      <c r="AS1074" s="68"/>
      <c r="AT1074" s="68"/>
    </row>
    <row r="1075" spans="1:46" ht="13.05" customHeight="1">
      <c r="A1075" s="1"/>
      <c r="B1075" s="1"/>
      <c r="C1075" s="8"/>
      <c r="D1075" s="1268"/>
      <c r="E1075" s="1268"/>
      <c r="F1075" s="1268"/>
      <c r="G1075" s="1268"/>
      <c r="H1075" s="1268"/>
      <c r="I1075" s="1268"/>
      <c r="J1075" s="1268"/>
      <c r="K1075" s="1268"/>
      <c r="L1075" s="1268"/>
      <c r="M1075" s="1268"/>
      <c r="N1075" s="1268"/>
      <c r="O1075" s="1268"/>
      <c r="P1075" s="1268"/>
      <c r="Q1075" s="1268"/>
      <c r="R1075" s="1268"/>
      <c r="S1075" s="1268"/>
      <c r="T1075" s="1268"/>
      <c r="U1075" s="1268"/>
      <c r="V1075" s="1268"/>
      <c r="W1075" s="1268"/>
      <c r="X1075" s="1268"/>
      <c r="Y1075" s="1268"/>
      <c r="Z1075" s="1268"/>
      <c r="AA1075" s="1268"/>
      <c r="AB1075" s="1268"/>
      <c r="AC1075" s="1268"/>
      <c r="AD1075" s="1268"/>
      <c r="AE1075" s="1268"/>
      <c r="AF1075" s="1268"/>
      <c r="AG1075" s="1268"/>
      <c r="AH1075" s="1268"/>
      <c r="AI1075" s="1268"/>
      <c r="AJ1075" s="1268"/>
      <c r="AK1075" s="1268"/>
    </row>
    <row r="1076" spans="1:46" ht="13.05" customHeight="1">
      <c r="A1076" s="1415" t="s">
        <v>599</v>
      </c>
      <c r="B1076" s="1415"/>
      <c r="C1076" s="8">
        <v>3</v>
      </c>
      <c r="D1076" s="1268" t="s">
        <v>2452</v>
      </c>
      <c r="E1076" s="1268"/>
      <c r="F1076" s="1268"/>
      <c r="G1076" s="1268"/>
      <c r="H1076" s="1268"/>
      <c r="I1076" s="1268"/>
      <c r="J1076" s="1268"/>
      <c r="K1076" s="1268"/>
      <c r="L1076" s="1268"/>
      <c r="M1076" s="1268"/>
      <c r="N1076" s="1268"/>
      <c r="O1076" s="1268"/>
      <c r="P1076" s="1268"/>
      <c r="Q1076" s="1268"/>
      <c r="R1076" s="1268"/>
      <c r="S1076" s="1268"/>
      <c r="T1076" s="1268"/>
      <c r="U1076" s="1268"/>
      <c r="V1076" s="1268"/>
      <c r="W1076" s="1268"/>
      <c r="X1076" s="1268"/>
      <c r="Y1076" s="1268"/>
      <c r="Z1076" s="1268"/>
      <c r="AA1076" s="1268"/>
      <c r="AB1076" s="1268"/>
      <c r="AC1076" s="1268"/>
      <c r="AD1076" s="1268"/>
      <c r="AE1076" s="1268"/>
      <c r="AF1076" s="1268"/>
      <c r="AG1076" s="1268"/>
      <c r="AH1076" s="1268"/>
      <c r="AI1076" s="1268"/>
      <c r="AJ1076" s="1268"/>
      <c r="AK1076" s="1268"/>
    </row>
    <row r="1077" spans="1:46" ht="13.05" customHeight="1">
      <c r="A1077" s="4"/>
      <c r="B1077" s="4"/>
      <c r="C1077" s="8"/>
      <c r="D1077" s="1268"/>
      <c r="E1077" s="1268"/>
      <c r="F1077" s="1268"/>
      <c r="G1077" s="1268"/>
      <c r="H1077" s="1268"/>
      <c r="I1077" s="1268"/>
      <c r="J1077" s="1268"/>
      <c r="K1077" s="1268"/>
      <c r="L1077" s="1268"/>
      <c r="M1077" s="1268"/>
      <c r="N1077" s="1268"/>
      <c r="O1077" s="1268"/>
      <c r="P1077" s="1268"/>
      <c r="Q1077" s="1268"/>
      <c r="R1077" s="1268"/>
      <c r="S1077" s="1268"/>
      <c r="T1077" s="1268"/>
      <c r="U1077" s="1268"/>
      <c r="V1077" s="1268"/>
      <c r="W1077" s="1268"/>
      <c r="X1077" s="1268"/>
      <c r="Y1077" s="1268"/>
      <c r="Z1077" s="1268"/>
      <c r="AA1077" s="1268"/>
      <c r="AB1077" s="1268"/>
      <c r="AC1077" s="1268"/>
      <c r="AD1077" s="1268"/>
      <c r="AE1077" s="1268"/>
      <c r="AF1077" s="1268"/>
      <c r="AG1077" s="1268"/>
      <c r="AH1077" s="1268"/>
      <c r="AI1077" s="1268"/>
      <c r="AJ1077" s="1268"/>
      <c r="AK1077" s="1268"/>
    </row>
    <row r="1078" spans="1:46" ht="13.05" customHeight="1">
      <c r="A1078" s="4"/>
      <c r="B1078" s="4"/>
      <c r="C1078" s="8"/>
      <c r="D1078" s="1268"/>
      <c r="E1078" s="1268"/>
      <c r="F1078" s="1268"/>
      <c r="G1078" s="1268"/>
      <c r="H1078" s="1268"/>
      <c r="I1078" s="1268"/>
      <c r="J1078" s="1268"/>
      <c r="K1078" s="1268"/>
      <c r="L1078" s="1268"/>
      <c r="M1078" s="1268"/>
      <c r="N1078" s="1268"/>
      <c r="O1078" s="1268"/>
      <c r="P1078" s="1268"/>
      <c r="Q1078" s="1268"/>
      <c r="R1078" s="1268"/>
      <c r="S1078" s="1268"/>
      <c r="T1078" s="1268"/>
      <c r="U1078" s="1268"/>
      <c r="V1078" s="1268"/>
      <c r="W1078" s="1268"/>
      <c r="X1078" s="1268"/>
      <c r="Y1078" s="1268"/>
      <c r="Z1078" s="1268"/>
      <c r="AA1078" s="1268"/>
      <c r="AB1078" s="1268"/>
      <c r="AC1078" s="1268"/>
      <c r="AD1078" s="1268"/>
      <c r="AE1078" s="1268"/>
      <c r="AF1078" s="1268"/>
      <c r="AG1078" s="1268"/>
      <c r="AH1078" s="1268"/>
      <c r="AI1078" s="1268"/>
      <c r="AJ1078" s="1268"/>
      <c r="AK1078" s="1268"/>
    </row>
    <row r="1079" spans="1:46" ht="13.05" customHeight="1">
      <c r="A1079" s="35"/>
      <c r="B1079" s="25"/>
      <c r="C1079" s="8"/>
      <c r="D1079" s="1268"/>
      <c r="E1079" s="1268"/>
      <c r="F1079" s="1268"/>
      <c r="G1079" s="1268"/>
      <c r="H1079" s="1268"/>
      <c r="I1079" s="1268"/>
      <c r="J1079" s="1268"/>
      <c r="K1079" s="1268"/>
      <c r="L1079" s="1268"/>
      <c r="M1079" s="1268"/>
      <c r="N1079" s="1268"/>
      <c r="O1079" s="1268"/>
      <c r="P1079" s="1268"/>
      <c r="Q1079" s="1268"/>
      <c r="R1079" s="1268"/>
      <c r="S1079" s="1268"/>
      <c r="T1079" s="1268"/>
      <c r="U1079" s="1268"/>
      <c r="V1079" s="1268"/>
      <c r="W1079" s="1268"/>
      <c r="X1079" s="1268"/>
      <c r="Y1079" s="1268"/>
      <c r="Z1079" s="1268"/>
      <c r="AA1079" s="1268"/>
      <c r="AB1079" s="1268"/>
      <c r="AC1079" s="1268"/>
      <c r="AD1079" s="1268"/>
      <c r="AE1079" s="1268"/>
      <c r="AF1079" s="1268"/>
      <c r="AG1079" s="1268"/>
      <c r="AH1079" s="1268"/>
      <c r="AI1079" s="1268"/>
      <c r="AJ1079" s="1268"/>
      <c r="AK1079" s="1268"/>
    </row>
    <row r="1080" spans="1:46" ht="13.05" customHeight="1">
      <c r="A1080" s="35"/>
      <c r="B1080" s="25"/>
      <c r="C1080" s="8"/>
      <c r="D1080" s="1268"/>
      <c r="E1080" s="1268"/>
      <c r="F1080" s="1268"/>
      <c r="G1080" s="1268"/>
      <c r="H1080" s="1268"/>
      <c r="I1080" s="1268"/>
      <c r="J1080" s="1268"/>
      <c r="K1080" s="1268"/>
      <c r="L1080" s="1268"/>
      <c r="M1080" s="1268"/>
      <c r="N1080" s="1268"/>
      <c r="O1080" s="1268"/>
      <c r="P1080" s="1268"/>
      <c r="Q1080" s="1268"/>
      <c r="R1080" s="1268"/>
      <c r="S1080" s="1268"/>
      <c r="T1080" s="1268"/>
      <c r="U1080" s="1268"/>
      <c r="V1080" s="1268"/>
      <c r="W1080" s="1268"/>
      <c r="X1080" s="1268"/>
      <c r="Y1080" s="1268"/>
      <c r="Z1080" s="1268"/>
      <c r="AA1080" s="1268"/>
      <c r="AB1080" s="1268"/>
      <c r="AC1080" s="1268"/>
      <c r="AD1080" s="1268"/>
      <c r="AE1080" s="1268"/>
      <c r="AF1080" s="1268"/>
      <c r="AG1080" s="1268"/>
      <c r="AH1080" s="1268"/>
      <c r="AI1080" s="1268"/>
      <c r="AJ1080" s="1268"/>
      <c r="AK1080" s="1268"/>
    </row>
    <row r="1081" spans="1:46" ht="13.05" customHeight="1">
      <c r="A1081" s="35"/>
      <c r="B1081" s="25"/>
      <c r="C1081" s="8"/>
      <c r="D1081" s="1268"/>
      <c r="E1081" s="1268"/>
      <c r="F1081" s="1268"/>
      <c r="G1081" s="1268"/>
      <c r="H1081" s="1268"/>
      <c r="I1081" s="1268"/>
      <c r="J1081" s="1268"/>
      <c r="K1081" s="1268"/>
      <c r="L1081" s="1268"/>
      <c r="M1081" s="1268"/>
      <c r="N1081" s="1268"/>
      <c r="O1081" s="1268"/>
      <c r="P1081" s="1268"/>
      <c r="Q1081" s="1268"/>
      <c r="R1081" s="1268"/>
      <c r="S1081" s="1268"/>
      <c r="T1081" s="1268"/>
      <c r="U1081" s="1268"/>
      <c r="V1081" s="1268"/>
      <c r="W1081" s="1268"/>
      <c r="X1081" s="1268"/>
      <c r="Y1081" s="1268"/>
      <c r="Z1081" s="1268"/>
      <c r="AA1081" s="1268"/>
      <c r="AB1081" s="1268"/>
      <c r="AC1081" s="1268"/>
      <c r="AD1081" s="1268"/>
      <c r="AE1081" s="1268"/>
      <c r="AF1081" s="1268"/>
      <c r="AG1081" s="1268"/>
      <c r="AH1081" s="1268"/>
      <c r="AI1081" s="1268"/>
      <c r="AJ1081" s="1268"/>
      <c r="AK1081" s="1268"/>
    </row>
    <row r="1082" spans="1:46" ht="13.05" customHeight="1">
      <c r="A1082" s="35"/>
      <c r="B1082" s="25"/>
      <c r="C1082" s="8"/>
      <c r="D1082" s="1268"/>
      <c r="E1082" s="1268"/>
      <c r="F1082" s="1268"/>
      <c r="G1082" s="1268"/>
      <c r="H1082" s="1268"/>
      <c r="I1082" s="1268"/>
      <c r="J1082" s="1268"/>
      <c r="K1082" s="1268"/>
      <c r="L1082" s="1268"/>
      <c r="M1082" s="1268"/>
      <c r="N1082" s="1268"/>
      <c r="O1082" s="1268"/>
      <c r="P1082" s="1268"/>
      <c r="Q1082" s="1268"/>
      <c r="R1082" s="1268"/>
      <c r="S1082" s="1268"/>
      <c r="T1082" s="1268"/>
      <c r="U1082" s="1268"/>
      <c r="V1082" s="1268"/>
      <c r="W1082" s="1268"/>
      <c r="X1082" s="1268"/>
      <c r="Y1082" s="1268"/>
      <c r="Z1082" s="1268"/>
      <c r="AA1082" s="1268"/>
      <c r="AB1082" s="1268"/>
      <c r="AC1082" s="1268"/>
      <c r="AD1082" s="1268"/>
      <c r="AE1082" s="1268"/>
      <c r="AF1082" s="1268"/>
      <c r="AG1082" s="1268"/>
      <c r="AH1082" s="1268"/>
      <c r="AI1082" s="1268"/>
      <c r="AJ1082" s="1268"/>
      <c r="AK1082" s="1268"/>
    </row>
    <row r="1083" spans="1:46" ht="13.05" customHeight="1">
      <c r="A1083" s="1415" t="s">
        <v>599</v>
      </c>
      <c r="B1083" s="1415"/>
      <c r="C1083" s="8">
        <v>4</v>
      </c>
      <c r="D1083" s="1268" t="s">
        <v>1117</v>
      </c>
      <c r="E1083" s="1268"/>
      <c r="F1083" s="1268"/>
      <c r="G1083" s="1268"/>
      <c r="H1083" s="1268"/>
      <c r="I1083" s="1268"/>
      <c r="J1083" s="1268"/>
      <c r="K1083" s="1268"/>
      <c r="L1083" s="1268"/>
      <c r="M1083" s="1268"/>
      <c r="N1083" s="1268"/>
      <c r="O1083" s="1268"/>
      <c r="P1083" s="1268"/>
      <c r="Q1083" s="1268"/>
      <c r="R1083" s="1268"/>
      <c r="S1083" s="1268"/>
      <c r="T1083" s="1268"/>
      <c r="U1083" s="1268"/>
      <c r="V1083" s="1268"/>
      <c r="W1083" s="1268"/>
      <c r="X1083" s="1268"/>
      <c r="Y1083" s="1268"/>
      <c r="Z1083" s="1268"/>
      <c r="AA1083" s="1268"/>
      <c r="AB1083" s="1268"/>
      <c r="AC1083" s="1268"/>
      <c r="AD1083" s="1268"/>
      <c r="AE1083" s="1268"/>
      <c r="AF1083" s="1268"/>
      <c r="AG1083" s="1268"/>
      <c r="AH1083" s="1268"/>
      <c r="AI1083" s="1268"/>
      <c r="AJ1083" s="1268"/>
      <c r="AK1083" s="1268"/>
    </row>
    <row r="1084" spans="1:46" ht="13.05" customHeight="1">
      <c r="A1084" s="1"/>
      <c r="B1084" s="1"/>
      <c r="C1084" s="8"/>
      <c r="D1084" s="1268"/>
      <c r="E1084" s="1268"/>
      <c r="F1084" s="1268"/>
      <c r="G1084" s="1268"/>
      <c r="H1084" s="1268"/>
      <c r="I1084" s="1268"/>
      <c r="J1084" s="1268"/>
      <c r="K1084" s="1268"/>
      <c r="L1084" s="1268"/>
      <c r="M1084" s="1268"/>
      <c r="N1084" s="1268"/>
      <c r="O1084" s="1268"/>
      <c r="P1084" s="1268"/>
      <c r="Q1084" s="1268"/>
      <c r="R1084" s="1268"/>
      <c r="S1084" s="1268"/>
      <c r="T1084" s="1268"/>
      <c r="U1084" s="1268"/>
      <c r="V1084" s="1268"/>
      <c r="W1084" s="1268"/>
      <c r="X1084" s="1268"/>
      <c r="Y1084" s="1268"/>
      <c r="Z1084" s="1268"/>
      <c r="AA1084" s="1268"/>
      <c r="AB1084" s="1268"/>
      <c r="AC1084" s="1268"/>
      <c r="AD1084" s="1268"/>
      <c r="AE1084" s="1268"/>
      <c r="AF1084" s="1268"/>
      <c r="AG1084" s="1268"/>
      <c r="AH1084" s="1268"/>
      <c r="AI1084" s="1268"/>
      <c r="AJ1084" s="1268"/>
      <c r="AK1084" s="1268"/>
    </row>
    <row r="1085" spans="1:46" ht="13.05" customHeight="1">
      <c r="A1085" s="35"/>
      <c r="B1085" s="25"/>
      <c r="C1085" s="8"/>
      <c r="D1085" s="1268"/>
      <c r="E1085" s="1268"/>
      <c r="F1085" s="1268"/>
      <c r="G1085" s="1268"/>
      <c r="H1085" s="1268"/>
      <c r="I1085" s="1268"/>
      <c r="J1085" s="1268"/>
      <c r="K1085" s="1268"/>
      <c r="L1085" s="1268"/>
      <c r="M1085" s="1268"/>
      <c r="N1085" s="1268"/>
      <c r="O1085" s="1268"/>
      <c r="P1085" s="1268"/>
      <c r="Q1085" s="1268"/>
      <c r="R1085" s="1268"/>
      <c r="S1085" s="1268"/>
      <c r="T1085" s="1268"/>
      <c r="U1085" s="1268"/>
      <c r="V1085" s="1268"/>
      <c r="W1085" s="1268"/>
      <c r="X1085" s="1268"/>
      <c r="Y1085" s="1268"/>
      <c r="Z1085" s="1268"/>
      <c r="AA1085" s="1268"/>
      <c r="AB1085" s="1268"/>
      <c r="AC1085" s="1268"/>
      <c r="AD1085" s="1268"/>
      <c r="AE1085" s="1268"/>
      <c r="AF1085" s="1268"/>
      <c r="AG1085" s="1268"/>
      <c r="AH1085" s="1268"/>
      <c r="AI1085" s="1268"/>
      <c r="AJ1085" s="1268"/>
      <c r="AK1085" s="1268"/>
    </row>
    <row r="1086" spans="1:46" ht="13.05" customHeight="1">
      <c r="A1086" s="1415" t="s">
        <v>599</v>
      </c>
      <c r="B1086" s="1415"/>
      <c r="C1086" s="8">
        <v>5</v>
      </c>
      <c r="D1086" s="1268" t="s">
        <v>2453</v>
      </c>
      <c r="E1086" s="1268"/>
      <c r="F1086" s="1268"/>
      <c r="G1086" s="1268"/>
      <c r="H1086" s="1268"/>
      <c r="I1086" s="1268"/>
      <c r="J1086" s="1268"/>
      <c r="K1086" s="1268"/>
      <c r="L1086" s="1268"/>
      <c r="M1086" s="1268"/>
      <c r="N1086" s="1268"/>
      <c r="O1086" s="1268"/>
      <c r="P1086" s="1268"/>
      <c r="Q1086" s="1268"/>
      <c r="R1086" s="1268"/>
      <c r="S1086" s="1268"/>
      <c r="T1086" s="1268"/>
      <c r="U1086" s="1268"/>
      <c r="V1086" s="1268"/>
      <c r="W1086" s="1268"/>
      <c r="X1086" s="1268"/>
      <c r="Y1086" s="1268"/>
      <c r="Z1086" s="1268"/>
      <c r="AA1086" s="1268"/>
      <c r="AB1086" s="1268"/>
      <c r="AC1086" s="1268"/>
      <c r="AD1086" s="1268"/>
      <c r="AE1086" s="1268"/>
      <c r="AF1086" s="1268"/>
      <c r="AG1086" s="1268"/>
      <c r="AH1086" s="1268"/>
      <c r="AI1086" s="1268"/>
      <c r="AJ1086" s="1268"/>
      <c r="AK1086" s="1268"/>
    </row>
    <row r="1087" spans="1:46" ht="13.05" customHeight="1">
      <c r="A1087" s="1"/>
      <c r="B1087" s="1"/>
      <c r="C1087" s="8"/>
      <c r="D1087" s="1268"/>
      <c r="E1087" s="1268"/>
      <c r="F1087" s="1268"/>
      <c r="G1087" s="1268"/>
      <c r="H1087" s="1268"/>
      <c r="I1087" s="1268"/>
      <c r="J1087" s="1268"/>
      <c r="K1087" s="1268"/>
      <c r="L1087" s="1268"/>
      <c r="M1087" s="1268"/>
      <c r="N1087" s="1268"/>
      <c r="O1087" s="1268"/>
      <c r="P1087" s="1268"/>
      <c r="Q1087" s="1268"/>
      <c r="R1087" s="1268"/>
      <c r="S1087" s="1268"/>
      <c r="T1087" s="1268"/>
      <c r="U1087" s="1268"/>
      <c r="V1087" s="1268"/>
      <c r="W1087" s="1268"/>
      <c r="X1087" s="1268"/>
      <c r="Y1087" s="1268"/>
      <c r="Z1087" s="1268"/>
      <c r="AA1087" s="1268"/>
      <c r="AB1087" s="1268"/>
      <c r="AC1087" s="1268"/>
      <c r="AD1087" s="1268"/>
      <c r="AE1087" s="1268"/>
      <c r="AF1087" s="1268"/>
      <c r="AG1087" s="1268"/>
      <c r="AH1087" s="1268"/>
      <c r="AI1087" s="1268"/>
      <c r="AJ1087" s="1268"/>
      <c r="AK1087" s="1268"/>
    </row>
    <row r="1088" spans="1:46" ht="13.05" customHeight="1">
      <c r="A1088" s="1"/>
      <c r="B1088" s="1"/>
      <c r="C1088" s="8"/>
      <c r="D1088" s="1268"/>
      <c r="E1088" s="1268"/>
      <c r="F1088" s="1268"/>
      <c r="G1088" s="1268"/>
      <c r="H1088" s="1268"/>
      <c r="I1088" s="1268"/>
      <c r="J1088" s="1268"/>
      <c r="K1088" s="1268"/>
      <c r="L1088" s="1268"/>
      <c r="M1088" s="1268"/>
      <c r="N1088" s="1268"/>
      <c r="O1088" s="1268"/>
      <c r="P1088" s="1268"/>
      <c r="Q1088" s="1268"/>
      <c r="R1088" s="1268"/>
      <c r="S1088" s="1268"/>
      <c r="T1088" s="1268"/>
      <c r="U1088" s="1268"/>
      <c r="V1088" s="1268"/>
      <c r="W1088" s="1268"/>
      <c r="X1088" s="1268"/>
      <c r="Y1088" s="1268"/>
      <c r="Z1088" s="1268"/>
      <c r="AA1088" s="1268"/>
      <c r="AB1088" s="1268"/>
      <c r="AC1088" s="1268"/>
      <c r="AD1088" s="1268"/>
      <c r="AE1088" s="1268"/>
      <c r="AF1088" s="1268"/>
      <c r="AG1088" s="1268"/>
      <c r="AH1088" s="1268"/>
      <c r="AI1088" s="1268"/>
      <c r="AJ1088" s="1268"/>
      <c r="AK1088" s="1268"/>
    </row>
    <row r="1089" spans="1:37" ht="13.05" hidden="1" customHeight="1">
      <c r="A1089" s="1"/>
      <c r="B1089" s="1"/>
      <c r="C1089" s="8"/>
      <c r="D1089" s="1268"/>
      <c r="E1089" s="1268"/>
      <c r="F1089" s="1268"/>
      <c r="G1089" s="1268"/>
      <c r="H1089" s="1268"/>
      <c r="I1089" s="1268"/>
      <c r="J1089" s="1268"/>
      <c r="K1089" s="1268"/>
      <c r="L1089" s="1268"/>
      <c r="M1089" s="1268"/>
      <c r="N1089" s="1268"/>
      <c r="O1089" s="1268"/>
      <c r="P1089" s="1268"/>
      <c r="Q1089" s="1268"/>
      <c r="R1089" s="1268"/>
      <c r="S1089" s="1268"/>
      <c r="T1089" s="1268"/>
      <c r="U1089" s="1268"/>
      <c r="V1089" s="1268"/>
      <c r="W1089" s="1268"/>
      <c r="X1089" s="1268"/>
      <c r="Y1089" s="1268"/>
      <c r="Z1089" s="1268"/>
      <c r="AA1089" s="1268"/>
      <c r="AB1089" s="1268"/>
      <c r="AC1089" s="1268"/>
      <c r="AD1089" s="1268"/>
      <c r="AE1089" s="1268"/>
      <c r="AF1089" s="1268"/>
      <c r="AG1089" s="1268"/>
      <c r="AH1089" s="1268"/>
      <c r="AI1089" s="1268"/>
      <c r="AJ1089" s="1268"/>
      <c r="AK1089" s="1268"/>
    </row>
    <row r="1090" spans="1:37" ht="13.05" customHeight="1">
      <c r="A1090" s="35"/>
      <c r="B1090" s="25"/>
      <c r="C1090" s="8"/>
      <c r="D1090" s="1268"/>
      <c r="E1090" s="1268"/>
      <c r="F1090" s="1268"/>
      <c r="G1090" s="1268"/>
      <c r="H1090" s="1268"/>
      <c r="I1090" s="1268"/>
      <c r="J1090" s="1268"/>
      <c r="K1090" s="1268"/>
      <c r="L1090" s="1268"/>
      <c r="M1090" s="1268"/>
      <c r="N1090" s="1268"/>
      <c r="O1090" s="1268"/>
      <c r="P1090" s="1268"/>
      <c r="Q1090" s="1268"/>
      <c r="R1090" s="1268"/>
      <c r="S1090" s="1268"/>
      <c r="T1090" s="1268"/>
      <c r="U1090" s="1268"/>
      <c r="V1090" s="1268"/>
      <c r="W1090" s="1268"/>
      <c r="X1090" s="1268"/>
      <c r="Y1090" s="1268"/>
      <c r="Z1090" s="1268"/>
      <c r="AA1090" s="1268"/>
      <c r="AB1090" s="1268"/>
      <c r="AC1090" s="1268"/>
      <c r="AD1090" s="1268"/>
      <c r="AE1090" s="1268"/>
      <c r="AF1090" s="1268"/>
      <c r="AG1090" s="1268"/>
      <c r="AH1090" s="1268"/>
      <c r="AI1090" s="1268"/>
      <c r="AJ1090" s="1268"/>
      <c r="AK1090" s="1268"/>
    </row>
    <row r="1091" spans="1:37" ht="13.05" customHeight="1">
      <c r="A1091" s="1415" t="s">
        <v>599</v>
      </c>
      <c r="B1091" s="1415"/>
      <c r="C1091" s="8">
        <v>6</v>
      </c>
      <c r="D1091" s="1268" t="s">
        <v>1118</v>
      </c>
      <c r="E1091" s="1268"/>
      <c r="F1091" s="1268"/>
      <c r="G1091" s="1268"/>
      <c r="H1091" s="1268"/>
      <c r="I1091" s="1268"/>
      <c r="J1091" s="1268"/>
      <c r="K1091" s="1268"/>
      <c r="L1091" s="1268"/>
      <c r="M1091" s="1268"/>
      <c r="N1091" s="1268"/>
      <c r="O1091" s="1268"/>
      <c r="P1091" s="1268"/>
      <c r="Q1091" s="1268"/>
      <c r="R1091" s="1268"/>
      <c r="S1091" s="1268"/>
      <c r="T1091" s="1268"/>
      <c r="U1091" s="1268"/>
      <c r="V1091" s="1268"/>
      <c r="W1091" s="1268"/>
      <c r="X1091" s="1268"/>
      <c r="Y1091" s="1268"/>
      <c r="Z1091" s="1268"/>
      <c r="AA1091" s="1268"/>
      <c r="AB1091" s="1268"/>
      <c r="AC1091" s="1268"/>
      <c r="AD1091" s="1268"/>
      <c r="AE1091" s="1268"/>
      <c r="AF1091" s="1268"/>
      <c r="AG1091" s="1268"/>
      <c r="AH1091" s="1268"/>
      <c r="AI1091" s="1268"/>
      <c r="AJ1091" s="1268"/>
      <c r="AK1091" s="1268"/>
    </row>
    <row r="1092" spans="1:37" ht="13.05" customHeight="1">
      <c r="A1092" s="35"/>
      <c r="B1092" s="25"/>
      <c r="C1092" s="8"/>
      <c r="D1092" s="1268"/>
      <c r="E1092" s="1268"/>
      <c r="F1092" s="1268"/>
      <c r="G1092" s="1268"/>
      <c r="H1092" s="1268"/>
      <c r="I1092" s="1268"/>
      <c r="J1092" s="1268"/>
      <c r="K1092" s="1268"/>
      <c r="L1092" s="1268"/>
      <c r="M1092" s="1268"/>
      <c r="N1092" s="1268"/>
      <c r="O1092" s="1268"/>
      <c r="P1092" s="1268"/>
      <c r="Q1092" s="1268"/>
      <c r="R1092" s="1268"/>
      <c r="S1092" s="1268"/>
      <c r="T1092" s="1268"/>
      <c r="U1092" s="1268"/>
      <c r="V1092" s="1268"/>
      <c r="W1092" s="1268"/>
      <c r="X1092" s="1268"/>
      <c r="Y1092" s="1268"/>
      <c r="Z1092" s="1268"/>
      <c r="AA1092" s="1268"/>
      <c r="AB1092" s="1268"/>
      <c r="AC1092" s="1268"/>
      <c r="AD1092" s="1268"/>
      <c r="AE1092" s="1268"/>
      <c r="AF1092" s="1268"/>
      <c r="AG1092" s="1268"/>
      <c r="AH1092" s="1268"/>
      <c r="AI1092" s="1268"/>
      <c r="AJ1092" s="1268"/>
      <c r="AK1092" s="1268"/>
    </row>
    <row r="1093" spans="1:37" ht="13.05" customHeight="1">
      <c r="A1093" s="35"/>
      <c r="B1093" s="25"/>
      <c r="C1093" s="8"/>
      <c r="D1093" s="1268"/>
      <c r="E1093" s="1268"/>
      <c r="F1093" s="1268"/>
      <c r="G1093" s="1268"/>
      <c r="H1093" s="1268"/>
      <c r="I1093" s="1268"/>
      <c r="J1093" s="1268"/>
      <c r="K1093" s="1268"/>
      <c r="L1093" s="1268"/>
      <c r="M1093" s="1268"/>
      <c r="N1093" s="1268"/>
      <c r="O1093" s="1268"/>
      <c r="P1093" s="1268"/>
      <c r="Q1093" s="1268"/>
      <c r="R1093" s="1268"/>
      <c r="S1093" s="1268"/>
      <c r="T1093" s="1268"/>
      <c r="U1093" s="1268"/>
      <c r="V1093" s="1268"/>
      <c r="W1093" s="1268"/>
      <c r="X1093" s="1268"/>
      <c r="Y1093" s="1268"/>
      <c r="Z1093" s="1268"/>
      <c r="AA1093" s="1268"/>
      <c r="AB1093" s="1268"/>
      <c r="AC1093" s="1268"/>
      <c r="AD1093" s="1268"/>
      <c r="AE1093" s="1268"/>
      <c r="AF1093" s="1268"/>
      <c r="AG1093" s="1268"/>
      <c r="AH1093" s="1268"/>
      <c r="AI1093" s="1268"/>
      <c r="AJ1093" s="1268"/>
      <c r="AK1093" s="1268"/>
    </row>
    <row r="1094" spans="1:37" ht="13.05" customHeight="1">
      <c r="A1094" s="1415" t="s">
        <v>599</v>
      </c>
      <c r="B1094" s="1415"/>
      <c r="C1094" s="212">
        <v>7</v>
      </c>
      <c r="D1094" s="1268" t="s">
        <v>1120</v>
      </c>
      <c r="E1094" s="1268"/>
      <c r="F1094" s="1268"/>
      <c r="G1094" s="1268"/>
      <c r="H1094" s="1268"/>
      <c r="I1094" s="1268"/>
      <c r="J1094" s="1268"/>
      <c r="K1094" s="1268"/>
      <c r="L1094" s="1268"/>
      <c r="M1094" s="1268"/>
      <c r="N1094" s="1268"/>
      <c r="O1094" s="1268"/>
      <c r="P1094" s="1268"/>
      <c r="Q1094" s="1268"/>
      <c r="R1094" s="1268"/>
      <c r="S1094" s="1268"/>
      <c r="T1094" s="1268"/>
      <c r="U1094" s="1268"/>
      <c r="V1094" s="1268"/>
      <c r="W1094" s="1268"/>
      <c r="X1094" s="1268"/>
      <c r="Y1094" s="1268"/>
      <c r="Z1094" s="1268"/>
      <c r="AA1094" s="1268"/>
      <c r="AB1094" s="1268"/>
      <c r="AC1094" s="1268"/>
      <c r="AD1094" s="1268"/>
      <c r="AE1094" s="1268"/>
      <c r="AF1094" s="1268"/>
      <c r="AG1094" s="1268"/>
      <c r="AH1094" s="1268"/>
      <c r="AI1094" s="1268"/>
      <c r="AJ1094" s="1268"/>
      <c r="AK1094" s="1268"/>
    </row>
    <row r="1095" spans="1:37" ht="13.05" customHeight="1">
      <c r="A1095" s="1"/>
      <c r="B1095" s="1"/>
      <c r="C1095" s="212"/>
      <c r="D1095" s="1268"/>
      <c r="E1095" s="1268"/>
      <c r="F1095" s="1268"/>
      <c r="G1095" s="1268"/>
      <c r="H1095" s="1268"/>
      <c r="I1095" s="1268"/>
      <c r="J1095" s="1268"/>
      <c r="K1095" s="1268"/>
      <c r="L1095" s="1268"/>
      <c r="M1095" s="1268"/>
      <c r="N1095" s="1268"/>
      <c r="O1095" s="1268"/>
      <c r="P1095" s="1268"/>
      <c r="Q1095" s="1268"/>
      <c r="R1095" s="1268"/>
      <c r="S1095" s="1268"/>
      <c r="T1095" s="1268"/>
      <c r="U1095" s="1268"/>
      <c r="V1095" s="1268"/>
      <c r="W1095" s="1268"/>
      <c r="X1095" s="1268"/>
      <c r="Y1095" s="1268"/>
      <c r="Z1095" s="1268"/>
      <c r="AA1095" s="1268"/>
      <c r="AB1095" s="1268"/>
      <c r="AC1095" s="1268"/>
      <c r="AD1095" s="1268"/>
      <c r="AE1095" s="1268"/>
      <c r="AF1095" s="1268"/>
      <c r="AG1095" s="1268"/>
      <c r="AH1095" s="1268"/>
      <c r="AI1095" s="1268"/>
      <c r="AJ1095" s="1268"/>
      <c r="AK1095" s="1268"/>
    </row>
    <row r="1096" spans="1:37" ht="13.05" customHeight="1">
      <c r="A1096" s="1"/>
      <c r="B1096" s="1"/>
      <c r="C1096" s="212"/>
      <c r="D1096" s="1268"/>
      <c r="E1096" s="1268"/>
      <c r="F1096" s="1268"/>
      <c r="G1096" s="1268"/>
      <c r="H1096" s="1268"/>
      <c r="I1096" s="1268"/>
      <c r="J1096" s="1268"/>
      <c r="K1096" s="1268"/>
      <c r="L1096" s="1268"/>
      <c r="M1096" s="1268"/>
      <c r="N1096" s="1268"/>
      <c r="O1096" s="1268"/>
      <c r="P1096" s="1268"/>
      <c r="Q1096" s="1268"/>
      <c r="R1096" s="1268"/>
      <c r="S1096" s="1268"/>
      <c r="T1096" s="1268"/>
      <c r="U1096" s="1268"/>
      <c r="V1096" s="1268"/>
      <c r="W1096" s="1268"/>
      <c r="X1096" s="1268"/>
      <c r="Y1096" s="1268"/>
      <c r="Z1096" s="1268"/>
      <c r="AA1096" s="1268"/>
      <c r="AB1096" s="1268"/>
      <c r="AC1096" s="1268"/>
      <c r="AD1096" s="1268"/>
      <c r="AE1096" s="1268"/>
      <c r="AF1096" s="1268"/>
      <c r="AG1096" s="1268"/>
      <c r="AH1096" s="1268"/>
      <c r="AI1096" s="1268"/>
      <c r="AJ1096" s="1268"/>
      <c r="AK1096" s="1268"/>
    </row>
    <row r="1097" spans="1:37" ht="13.05" customHeight="1">
      <c r="A1097" s="35"/>
      <c r="B1097" s="25"/>
      <c r="C1097" s="212"/>
      <c r="D1097" s="1268"/>
      <c r="E1097" s="1268"/>
      <c r="F1097" s="1268"/>
      <c r="G1097" s="1268"/>
      <c r="H1097" s="1268"/>
      <c r="I1097" s="1268"/>
      <c r="J1097" s="1268"/>
      <c r="K1097" s="1268"/>
      <c r="L1097" s="1268"/>
      <c r="M1097" s="1268"/>
      <c r="N1097" s="1268"/>
      <c r="O1097" s="1268"/>
      <c r="P1097" s="1268"/>
      <c r="Q1097" s="1268"/>
      <c r="R1097" s="1268"/>
      <c r="S1097" s="1268"/>
      <c r="T1097" s="1268"/>
      <c r="U1097" s="1268"/>
      <c r="V1097" s="1268"/>
      <c r="W1097" s="1268"/>
      <c r="X1097" s="1268"/>
      <c r="Y1097" s="1268"/>
      <c r="Z1097" s="1268"/>
      <c r="AA1097" s="1268"/>
      <c r="AB1097" s="1268"/>
      <c r="AC1097" s="1268"/>
      <c r="AD1097" s="1268"/>
      <c r="AE1097" s="1268"/>
      <c r="AF1097" s="1268"/>
      <c r="AG1097" s="1268"/>
      <c r="AH1097" s="1268"/>
      <c r="AI1097" s="1268"/>
      <c r="AJ1097" s="1268"/>
      <c r="AK1097" s="1268"/>
    </row>
    <row r="1098" spans="1:37" ht="13.05" customHeight="1">
      <c r="A1098" s="1415" t="s">
        <v>599</v>
      </c>
      <c r="B1098" s="1415"/>
      <c r="C1098" s="212">
        <v>8</v>
      </c>
      <c r="D1098" s="1328" t="s">
        <v>1869</v>
      </c>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row>
    <row r="1099" spans="1:37" ht="13.05" customHeight="1">
      <c r="A1099" s="1"/>
      <c r="B1099" s="1"/>
      <c r="C1099" s="212"/>
      <c r="D1099" s="1328"/>
      <c r="E1099" s="1328"/>
      <c r="F1099" s="1328"/>
      <c r="G1099" s="1328"/>
      <c r="H1099" s="1328"/>
      <c r="I1099" s="1328"/>
      <c r="J1099" s="1328"/>
      <c r="K1099" s="1328"/>
      <c r="L1099" s="1328"/>
      <c r="M1099" s="1328"/>
      <c r="N1099" s="1328"/>
      <c r="O1099" s="1328"/>
      <c r="P1099" s="1328"/>
      <c r="Q1099" s="1328"/>
      <c r="R1099" s="1328"/>
      <c r="S1099" s="1328"/>
      <c r="T1099" s="1328"/>
      <c r="U1099" s="1328"/>
      <c r="V1099" s="1328"/>
      <c r="W1099" s="1328"/>
      <c r="X1099" s="1328"/>
      <c r="Y1099" s="1328"/>
      <c r="Z1099" s="1328"/>
      <c r="AA1099" s="1328"/>
      <c r="AB1099" s="1328"/>
      <c r="AC1099" s="1328"/>
      <c r="AD1099" s="1328"/>
      <c r="AE1099" s="1328"/>
      <c r="AF1099" s="1328"/>
      <c r="AG1099" s="1328"/>
      <c r="AH1099" s="1328"/>
      <c r="AI1099" s="1328"/>
      <c r="AJ1099" s="1328"/>
      <c r="AK1099" s="1328"/>
    </row>
    <row r="1100" spans="1:37" ht="13.05" customHeight="1">
      <c r="A1100" s="1"/>
      <c r="B1100" s="1"/>
      <c r="C1100" s="212"/>
      <c r="D1100" s="1328"/>
      <c r="E1100" s="1328"/>
      <c r="F1100" s="1328"/>
      <c r="G1100" s="1328"/>
      <c r="H1100" s="1328"/>
      <c r="I1100" s="1328"/>
      <c r="J1100" s="1328"/>
      <c r="K1100" s="1328"/>
      <c r="L1100" s="1328"/>
      <c r="M1100" s="1328"/>
      <c r="N1100" s="1328"/>
      <c r="O1100" s="1328"/>
      <c r="P1100" s="1328"/>
      <c r="Q1100" s="1328"/>
      <c r="R1100" s="1328"/>
      <c r="S1100" s="1328"/>
      <c r="T1100" s="1328"/>
      <c r="U1100" s="1328"/>
      <c r="V1100" s="1328"/>
      <c r="W1100" s="1328"/>
      <c r="X1100" s="1328"/>
      <c r="Y1100" s="1328"/>
      <c r="Z1100" s="1328"/>
      <c r="AA1100" s="1328"/>
      <c r="AB1100" s="1328"/>
      <c r="AC1100" s="1328"/>
      <c r="AD1100" s="1328"/>
      <c r="AE1100" s="1328"/>
      <c r="AF1100" s="1328"/>
      <c r="AG1100" s="1328"/>
      <c r="AH1100" s="1328"/>
      <c r="AI1100" s="1328"/>
      <c r="AJ1100" s="1328"/>
      <c r="AK1100" s="1328"/>
    </row>
    <row r="1101" spans="1:37" ht="0" hidden="1" customHeight="1">
      <c r="A1101" s="1"/>
      <c r="B1101" s="1"/>
      <c r="C1101" s="212"/>
      <c r="D1101" s="1328"/>
      <c r="E1101" s="1328"/>
      <c r="F1101" s="1328"/>
      <c r="G1101" s="1328"/>
      <c r="H1101" s="1328"/>
      <c r="I1101" s="1328"/>
      <c r="J1101" s="1328"/>
      <c r="K1101" s="1328"/>
      <c r="L1101" s="1328"/>
      <c r="M1101" s="1328"/>
      <c r="N1101" s="1328"/>
      <c r="O1101" s="1328"/>
      <c r="P1101" s="1328"/>
      <c r="Q1101" s="1328"/>
      <c r="R1101" s="1328"/>
      <c r="S1101" s="1328"/>
      <c r="T1101" s="1328"/>
      <c r="U1101" s="1328"/>
      <c r="V1101" s="1328"/>
      <c r="W1101" s="1328"/>
      <c r="X1101" s="1328"/>
      <c r="Y1101" s="1328"/>
      <c r="Z1101" s="1328"/>
      <c r="AA1101" s="1328"/>
      <c r="AB1101" s="1328"/>
      <c r="AC1101" s="1328"/>
      <c r="AD1101" s="1328"/>
      <c r="AE1101" s="1328"/>
      <c r="AF1101" s="1328"/>
      <c r="AG1101" s="1328"/>
      <c r="AH1101" s="1328"/>
      <c r="AI1101" s="1328"/>
      <c r="AJ1101" s="1328"/>
      <c r="AK1101" s="1328"/>
    </row>
    <row r="1102" spans="1:37" ht="0" hidden="1" customHeight="1">
      <c r="A1102" s="35"/>
      <c r="B1102" s="25"/>
      <c r="C1102" s="212"/>
      <c r="D1102" s="1328"/>
      <c r="E1102" s="1328"/>
      <c r="F1102" s="1328"/>
      <c r="G1102" s="1328"/>
      <c r="H1102" s="1328"/>
      <c r="I1102" s="1328"/>
      <c r="J1102" s="1328"/>
      <c r="K1102" s="1328"/>
      <c r="L1102" s="1328"/>
      <c r="M1102" s="1328"/>
      <c r="N1102" s="1328"/>
      <c r="O1102" s="1328"/>
      <c r="P1102" s="1328"/>
      <c r="Q1102" s="1328"/>
      <c r="R1102" s="1328"/>
      <c r="S1102" s="1328"/>
      <c r="T1102" s="1328"/>
      <c r="U1102" s="1328"/>
      <c r="V1102" s="1328"/>
      <c r="W1102" s="1328"/>
      <c r="X1102" s="1328"/>
      <c r="Y1102" s="1328"/>
      <c r="Z1102" s="1328"/>
      <c r="AA1102" s="1328"/>
      <c r="AB1102" s="1328"/>
      <c r="AC1102" s="1328"/>
      <c r="AD1102" s="1328"/>
      <c r="AE1102" s="1328"/>
      <c r="AF1102" s="1328"/>
      <c r="AG1102" s="1328"/>
      <c r="AH1102" s="1328"/>
      <c r="AI1102" s="1328"/>
      <c r="AJ1102" s="1328"/>
      <c r="AK1102" s="1328"/>
    </row>
    <row r="1103" spans="1:37" ht="0" hidden="1" customHeight="1">
      <c r="A1103" s="1415" t="s">
        <v>599</v>
      </c>
      <c r="B1103" s="1415"/>
      <c r="C1103" s="212">
        <v>9</v>
      </c>
      <c r="D1103" s="1268" t="s">
        <v>1119</v>
      </c>
      <c r="E1103" s="1268"/>
      <c r="F1103" s="1268"/>
      <c r="G1103" s="1268"/>
      <c r="H1103" s="1268"/>
      <c r="I1103" s="1268"/>
      <c r="J1103" s="1268"/>
      <c r="K1103" s="1268"/>
      <c r="L1103" s="1268"/>
      <c r="M1103" s="1268"/>
      <c r="N1103" s="1268"/>
      <c r="O1103" s="1268"/>
      <c r="P1103" s="1268"/>
      <c r="Q1103" s="1268"/>
      <c r="R1103" s="1268"/>
      <c r="S1103" s="1268"/>
      <c r="T1103" s="1268"/>
      <c r="U1103" s="1268"/>
      <c r="V1103" s="1268"/>
      <c r="W1103" s="1268"/>
      <c r="X1103" s="1268"/>
      <c r="Y1103" s="1268"/>
      <c r="Z1103" s="1268"/>
      <c r="AA1103" s="1268"/>
      <c r="AB1103" s="1268"/>
      <c r="AC1103" s="1268"/>
      <c r="AD1103" s="1268"/>
      <c r="AE1103" s="1268"/>
      <c r="AF1103" s="1268"/>
      <c r="AG1103" s="1268"/>
      <c r="AH1103" s="1268"/>
      <c r="AI1103" s="1268"/>
      <c r="AJ1103" s="1268"/>
      <c r="AK1103" s="1268"/>
    </row>
    <row r="1104" spans="1:37" ht="0" hidden="1" customHeight="1">
      <c r="A1104" s="35"/>
      <c r="B1104" s="25"/>
      <c r="C1104" s="212"/>
      <c r="D1104" s="1268"/>
      <c r="E1104" s="1268"/>
      <c r="F1104" s="1268"/>
      <c r="G1104" s="1268"/>
      <c r="H1104" s="1268"/>
      <c r="I1104" s="1268"/>
      <c r="J1104" s="1268"/>
      <c r="K1104" s="1268"/>
      <c r="L1104" s="1268"/>
      <c r="M1104" s="1268"/>
      <c r="N1104" s="1268"/>
      <c r="O1104" s="1268"/>
      <c r="P1104" s="1268"/>
      <c r="Q1104" s="1268"/>
      <c r="R1104" s="1268"/>
      <c r="S1104" s="1268"/>
      <c r="T1104" s="1268"/>
      <c r="U1104" s="1268"/>
      <c r="V1104" s="1268"/>
      <c r="W1104" s="1268"/>
      <c r="X1104" s="1268"/>
      <c r="Y1104" s="1268"/>
      <c r="Z1104" s="1268"/>
      <c r="AA1104" s="1268"/>
      <c r="AB1104" s="1268"/>
      <c r="AC1104" s="1268"/>
      <c r="AD1104" s="1268"/>
      <c r="AE1104" s="1268"/>
      <c r="AF1104" s="1268"/>
      <c r="AG1104" s="1268"/>
      <c r="AH1104" s="1268"/>
      <c r="AI1104" s="1268"/>
      <c r="AJ1104" s="1268"/>
      <c r="AK1104" s="1268"/>
    </row>
    <row r="1105" spans="4:37" ht="0" hidden="1" customHeight="1">
      <c r="D1105" s="1268"/>
      <c r="E1105" s="1268"/>
      <c r="F1105" s="1268"/>
      <c r="G1105" s="1268"/>
      <c r="H1105" s="1268"/>
      <c r="I1105" s="1268"/>
      <c r="J1105" s="1268"/>
      <c r="K1105" s="1268"/>
      <c r="L1105" s="1268"/>
      <c r="M1105" s="1268"/>
      <c r="N1105" s="1268"/>
      <c r="O1105" s="1268"/>
      <c r="P1105" s="1268"/>
      <c r="Q1105" s="1268"/>
      <c r="R1105" s="1268"/>
      <c r="S1105" s="1268"/>
      <c r="T1105" s="1268"/>
      <c r="U1105" s="1268"/>
      <c r="V1105" s="1268"/>
      <c r="W1105" s="1268"/>
      <c r="X1105" s="1268"/>
      <c r="Y1105" s="1268"/>
      <c r="Z1105" s="1268"/>
      <c r="AA1105" s="1268"/>
      <c r="AB1105" s="1268"/>
      <c r="AC1105" s="1268"/>
      <c r="AD1105" s="1268"/>
      <c r="AE1105" s="1268"/>
      <c r="AF1105" s="1268"/>
      <c r="AG1105" s="1268"/>
      <c r="AH1105" s="1268"/>
      <c r="AI1105" s="1268"/>
      <c r="AJ1105" s="1268"/>
      <c r="AK1105" s="1268"/>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H666:EL666"/>
    <mergeCell ref="AK743:AO743"/>
    <mergeCell ref="AK744:AO744"/>
    <mergeCell ref="X743:AB743"/>
    <mergeCell ref="X744:AB744"/>
    <mergeCell ref="AH743:AJ743"/>
    <mergeCell ref="AH744:AJ744"/>
    <mergeCell ref="G731:J731"/>
    <mergeCell ref="X738:AB738"/>
    <mergeCell ref="X729:AB729"/>
    <mergeCell ref="AG689:AH689"/>
    <mergeCell ref="R705:T705"/>
    <mergeCell ref="DX623:EB623"/>
    <mergeCell ref="EC623:EG623"/>
    <mergeCell ref="EH623:EL623"/>
    <mergeCell ref="DX620:EB620"/>
    <mergeCell ref="EC620:EG620"/>
    <mergeCell ref="EH620:EL620"/>
    <mergeCell ref="DH627:DL627"/>
    <mergeCell ref="DM627:DQ627"/>
    <mergeCell ref="DR627:DV627"/>
    <mergeCell ref="CS621:CW621"/>
    <mergeCell ref="CX621:DB621"/>
    <mergeCell ref="G727:J727"/>
    <mergeCell ref="EH626:EL626"/>
    <mergeCell ref="BK624:BL624"/>
    <mergeCell ref="BE625:BF625"/>
    <mergeCell ref="BG625:BH625"/>
    <mergeCell ref="BS622:BW622"/>
    <mergeCell ref="BX622:CB622"/>
    <mergeCell ref="CC622:CG622"/>
    <mergeCell ref="BN655:BR655"/>
    <mergeCell ref="B726:F726"/>
    <mergeCell ref="X724:AB724"/>
    <mergeCell ref="T729:W729"/>
    <mergeCell ref="AH728:AJ728"/>
    <mergeCell ref="B732:F732"/>
    <mergeCell ref="G738:J738"/>
    <mergeCell ref="X739:AB739"/>
    <mergeCell ref="K743:N743"/>
    <mergeCell ref="O743:S743"/>
    <mergeCell ref="AH742:AJ742"/>
    <mergeCell ref="AH733:AJ733"/>
    <mergeCell ref="X740:AB740"/>
    <mergeCell ref="G569:R569"/>
    <mergeCell ref="G571:R571"/>
    <mergeCell ref="DX666:EB666"/>
    <mergeCell ref="EC666:EG666"/>
    <mergeCell ref="EH638:EL638"/>
    <mergeCell ref="DX631:EB631"/>
    <mergeCell ref="EC631:EG631"/>
    <mergeCell ref="EH631:EL631"/>
    <mergeCell ref="DR628:DV628"/>
    <mergeCell ref="CS627:CW627"/>
    <mergeCell ref="DR626:DV626"/>
    <mergeCell ref="DR620:DV620"/>
    <mergeCell ref="DM621:DQ621"/>
    <mergeCell ref="DR621:DV621"/>
    <mergeCell ref="DR624:DV624"/>
    <mergeCell ref="DM625:DQ625"/>
    <mergeCell ref="DR622:DV622"/>
    <mergeCell ref="DR625:DV625"/>
    <mergeCell ref="DX626:EB626"/>
    <mergeCell ref="EC626:EG626"/>
    <mergeCell ref="EM638:EQ638"/>
    <mergeCell ref="ER638:EV638"/>
    <mergeCell ref="EC635:EG635"/>
    <mergeCell ref="EH635:EL635"/>
    <mergeCell ref="EM635:EQ635"/>
    <mergeCell ref="ER635:EV635"/>
    <mergeCell ref="EW635:FA635"/>
    <mergeCell ref="EW631:FA631"/>
    <mergeCell ref="EC636:EG636"/>
    <mergeCell ref="EH636:EL636"/>
    <mergeCell ref="DX636:EB636"/>
    <mergeCell ref="B723:F723"/>
    <mergeCell ref="AK739:AO739"/>
    <mergeCell ref="O735:S735"/>
    <mergeCell ref="AC736:AG736"/>
    <mergeCell ref="T738:W738"/>
    <mergeCell ref="AH722:AJ722"/>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R660:EV660"/>
    <mergeCell ref="EW660:FA660"/>
    <mergeCell ref="DX661:EB661"/>
    <mergeCell ref="EC661:EG661"/>
    <mergeCell ref="EH661:EL661"/>
    <mergeCell ref="ER636:EV636"/>
    <mergeCell ref="DC629:DG629"/>
    <mergeCell ref="DH629:DL629"/>
    <mergeCell ref="DM629:DQ629"/>
    <mergeCell ref="DR629:DV629"/>
    <mergeCell ref="EM630:EQ630"/>
    <mergeCell ref="DX629:EB629"/>
    <mergeCell ref="EC629:EG629"/>
    <mergeCell ref="DX635:EB635"/>
    <mergeCell ref="DX638:EB638"/>
    <mergeCell ref="EC638:EG638"/>
    <mergeCell ref="EC625:EG625"/>
    <mergeCell ref="EH625:EL625"/>
    <mergeCell ref="EM625:EQ625"/>
    <mergeCell ref="ER629:EV629"/>
    <mergeCell ref="EW629:FA629"/>
    <mergeCell ref="EH632:EL632"/>
    <mergeCell ref="EM632:EQ632"/>
    <mergeCell ref="ER632:EV632"/>
    <mergeCell ref="EW627:FA627"/>
    <mergeCell ref="DX628:EB628"/>
    <mergeCell ref="EC628:EG628"/>
    <mergeCell ref="EH628:EL628"/>
    <mergeCell ref="EM628:EQ628"/>
    <mergeCell ref="DX625:EB625"/>
    <mergeCell ref="EH629:EL629"/>
    <mergeCell ref="EM629:EQ629"/>
    <mergeCell ref="EW632:FA632"/>
    <mergeCell ref="EM631:EQ631"/>
    <mergeCell ref="ER631:EV631"/>
    <mergeCell ref="DX630:EB630"/>
    <mergeCell ref="EC630:EG630"/>
    <mergeCell ref="ER625:EV625"/>
    <mergeCell ref="EW625:FA625"/>
    <mergeCell ref="DX627:EB627"/>
    <mergeCell ref="EC627:EG627"/>
    <mergeCell ref="EH627:EL627"/>
    <mergeCell ref="EM627:EQ627"/>
    <mergeCell ref="ER627:EV627"/>
    <mergeCell ref="ER628:EV628"/>
    <mergeCell ref="EM620:EQ620"/>
    <mergeCell ref="DX621:EB621"/>
    <mergeCell ref="EC621:EG621"/>
    <mergeCell ref="EH621:EL621"/>
    <mergeCell ref="EM621:EQ621"/>
    <mergeCell ref="EW621:FA621"/>
    <mergeCell ref="DX622:EB622"/>
    <mergeCell ref="EC622:EG622"/>
    <mergeCell ref="EH622:EL622"/>
    <mergeCell ref="EM622:EQ622"/>
    <mergeCell ref="ER622:EV622"/>
    <mergeCell ref="EW622:FA622"/>
    <mergeCell ref="ER630:EV630"/>
    <mergeCell ref="EW630:FA630"/>
    <mergeCell ref="EW628:FA628"/>
    <mergeCell ref="EM623:EQ623"/>
    <mergeCell ref="ER623:EV623"/>
    <mergeCell ref="EW623:FA623"/>
    <mergeCell ref="DX624:EB624"/>
    <mergeCell ref="EW624:FA624"/>
    <mergeCell ref="EM626:EQ626"/>
    <mergeCell ref="ER626:EV626"/>
    <mergeCell ref="EW626:FA626"/>
    <mergeCell ref="ER624:EV624"/>
    <mergeCell ref="ER620:EV620"/>
    <mergeCell ref="EW620:FA620"/>
    <mergeCell ref="DM626:DQ626"/>
    <mergeCell ref="DR623:DV623"/>
    <mergeCell ref="DC620:DG620"/>
    <mergeCell ref="DH620:DL620"/>
    <mergeCell ref="DM620:DQ620"/>
    <mergeCell ref="DC624:DG624"/>
    <mergeCell ref="DH624:DL624"/>
    <mergeCell ref="DM624:DQ624"/>
    <mergeCell ref="CX620:DB620"/>
    <mergeCell ref="CS624:CW624"/>
    <mergeCell ref="CX624:DB624"/>
    <mergeCell ref="CS625:CW625"/>
    <mergeCell ref="CX625:DB625"/>
    <mergeCell ref="DC625:DG625"/>
    <mergeCell ref="DH625:DL625"/>
    <mergeCell ref="CS623:CW623"/>
    <mergeCell ref="CX623:DB623"/>
    <mergeCell ref="DC623:DG623"/>
    <mergeCell ref="DH623:DL623"/>
    <mergeCell ref="AH540:AK540"/>
    <mergeCell ref="AC515:AF515"/>
    <mergeCell ref="AC514:AF514"/>
    <mergeCell ref="AH538:AK538"/>
    <mergeCell ref="Z551:AD553"/>
    <mergeCell ref="AH513:AK513"/>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C454:AF454"/>
    <mergeCell ref="B720:F720"/>
    <mergeCell ref="AC510:AF510"/>
    <mergeCell ref="AH510:AK510"/>
    <mergeCell ref="K721:N721"/>
    <mergeCell ref="T714:W717"/>
    <mergeCell ref="O719:S719"/>
    <mergeCell ref="AH506:AK506"/>
    <mergeCell ref="AM551:AS553"/>
    <mergeCell ref="D472:V472"/>
    <mergeCell ref="T728:W728"/>
    <mergeCell ref="G728:J728"/>
    <mergeCell ref="AM557:AS557"/>
    <mergeCell ref="AE557:AH557"/>
    <mergeCell ref="AC505:AF505"/>
    <mergeCell ref="Z557:AD557"/>
    <mergeCell ref="P687:R687"/>
    <mergeCell ref="AM554:AS554"/>
    <mergeCell ref="M495:P495"/>
    <mergeCell ref="D441:AF441"/>
    <mergeCell ref="D466:V466"/>
    <mergeCell ref="Q491:AK491"/>
    <mergeCell ref="AG447:AJ447"/>
    <mergeCell ref="AH495:AK495"/>
    <mergeCell ref="D465:V465"/>
    <mergeCell ref="D442:AF442"/>
    <mergeCell ref="W557:Y557"/>
    <mergeCell ref="W558:Y558"/>
    <mergeCell ref="AE558:AH558"/>
    <mergeCell ref="AG607:AH607"/>
    <mergeCell ref="AI679:AK679"/>
    <mergeCell ref="Z643:AK643"/>
    <mergeCell ref="H606:R606"/>
    <mergeCell ref="G605:L605"/>
    <mergeCell ref="G602:R602"/>
    <mergeCell ref="N599:O599"/>
    <mergeCell ref="AA598:AK598"/>
    <mergeCell ref="W472:Y472"/>
    <mergeCell ref="AE551:AH553"/>
    <mergeCell ref="AI551:AL553"/>
    <mergeCell ref="O520:AA520"/>
    <mergeCell ref="AE555:AH555"/>
    <mergeCell ref="Q555:S555"/>
    <mergeCell ref="AI558:AL558"/>
    <mergeCell ref="M554:P554"/>
    <mergeCell ref="AH519:AK519"/>
    <mergeCell ref="AH536:AK536"/>
    <mergeCell ref="AG448:AJ448"/>
    <mergeCell ref="AH528:AK528"/>
    <mergeCell ref="AI323:AK323"/>
    <mergeCell ref="AA320:AK320"/>
    <mergeCell ref="AA337:AK337"/>
    <mergeCell ref="H327:R327"/>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H532:AK532"/>
    <mergeCell ref="AA321:AK321"/>
    <mergeCell ref="AH505:AK505"/>
    <mergeCell ref="B514:H516"/>
    <mergeCell ref="AC522:AF522"/>
    <mergeCell ref="T554:V554"/>
    <mergeCell ref="B517:H519"/>
    <mergeCell ref="AC524:AF524"/>
    <mergeCell ref="L280:AD280"/>
    <mergeCell ref="H303:R303"/>
    <mergeCell ref="AF430:AG430"/>
    <mergeCell ref="AC521:AF521"/>
    <mergeCell ref="AC528:AF528"/>
    <mergeCell ref="AH518:AK518"/>
    <mergeCell ref="AH514:AK514"/>
    <mergeCell ref="AH508:AK508"/>
    <mergeCell ref="Q494:AK494"/>
    <mergeCell ref="AG437:AJ437"/>
    <mergeCell ref="AG450:AJ450"/>
    <mergeCell ref="AC455:AF455"/>
    <mergeCell ref="F457:AB458"/>
    <mergeCell ref="H330:R330"/>
    <mergeCell ref="K403:AJ403"/>
    <mergeCell ref="AG449:AJ449"/>
    <mergeCell ref="N371:Q371"/>
    <mergeCell ref="V382:W382"/>
    <mergeCell ref="Y364:Z364"/>
    <mergeCell ref="N378:P378"/>
    <mergeCell ref="H339:M339"/>
    <mergeCell ref="AA317:AK317"/>
    <mergeCell ref="D469:V469"/>
    <mergeCell ref="D468:V468"/>
    <mergeCell ref="L508:AB508"/>
    <mergeCell ref="Z432:AA432"/>
    <mergeCell ref="Q487:AK487"/>
    <mergeCell ref="Q486:AK486"/>
    <mergeCell ref="AH502:AK502"/>
    <mergeCell ref="AC499:AK499"/>
    <mergeCell ref="W468:Y468"/>
    <mergeCell ref="AC526:AF526"/>
    <mergeCell ref="AE559:AH559"/>
    <mergeCell ref="AI559:AL559"/>
    <mergeCell ref="AH520:AK520"/>
    <mergeCell ref="AC537:AF537"/>
    <mergeCell ref="AH539:AK539"/>
    <mergeCell ref="AH541:AK541"/>
    <mergeCell ref="AC535:AF535"/>
    <mergeCell ref="AI554:AL554"/>
    <mergeCell ref="AH524:AK524"/>
    <mergeCell ref="AH525:AK525"/>
    <mergeCell ref="AH529:AK529"/>
    <mergeCell ref="AH534:AK534"/>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V276:W276"/>
    <mergeCell ref="N373:AF374"/>
    <mergeCell ref="AE402:AJ402"/>
    <mergeCell ref="AC385:AJ385"/>
    <mergeCell ref="H336:R336"/>
    <mergeCell ref="AA327:AK327"/>
    <mergeCell ref="H332:M332"/>
    <mergeCell ref="H335:R335"/>
    <mergeCell ref="P331:R331"/>
    <mergeCell ref="AC347:AE347"/>
    <mergeCell ref="P343:AE343"/>
    <mergeCell ref="AA340:AF340"/>
    <mergeCell ref="AC538:AF538"/>
    <mergeCell ref="AJ355:AK355"/>
    <mergeCell ref="AG442:AJ442"/>
    <mergeCell ref="AG377:AH377"/>
    <mergeCell ref="E418:G418"/>
    <mergeCell ref="AD411:AE411"/>
    <mergeCell ref="F427:AH428"/>
    <mergeCell ref="V377:W377"/>
    <mergeCell ref="S377:T377"/>
    <mergeCell ref="D437:AF437"/>
    <mergeCell ref="AC456:AF456"/>
    <mergeCell ref="M356:N356"/>
    <mergeCell ref="AC529:AF529"/>
    <mergeCell ref="AH530:AK530"/>
    <mergeCell ref="AH531:AK531"/>
    <mergeCell ref="BN596:BR596"/>
    <mergeCell ref="BI602:BJ602"/>
    <mergeCell ref="BI598:BJ598"/>
    <mergeCell ref="BK599:BL599"/>
    <mergeCell ref="BN599:BR599"/>
    <mergeCell ref="BI605:BJ605"/>
    <mergeCell ref="BE604:BF604"/>
    <mergeCell ref="AA324:AF324"/>
    <mergeCell ref="H328:R328"/>
    <mergeCell ref="J387:U387"/>
    <mergeCell ref="H325:R325"/>
    <mergeCell ref="H307:M307"/>
    <mergeCell ref="P421:R421"/>
    <mergeCell ref="I410:AE410"/>
    <mergeCell ref="S401:U401"/>
    <mergeCell ref="BN628:BR628"/>
    <mergeCell ref="BS628:BW628"/>
    <mergeCell ref="BS626:BW626"/>
    <mergeCell ref="BN624:BR624"/>
    <mergeCell ref="BS624:BW624"/>
    <mergeCell ref="BN597:BR597"/>
    <mergeCell ref="BG597:BH597"/>
    <mergeCell ref="BI597:BJ597"/>
    <mergeCell ref="BK596:BL596"/>
    <mergeCell ref="C628:L628"/>
    <mergeCell ref="AA308:AF308"/>
    <mergeCell ref="Q563:S563"/>
    <mergeCell ref="AI565:AL565"/>
    <mergeCell ref="N583:O583"/>
    <mergeCell ref="AH537:AK537"/>
    <mergeCell ref="AC534:AF534"/>
    <mergeCell ref="Q556:S556"/>
    <mergeCell ref="BS640:BW640"/>
    <mergeCell ref="BN629:BR629"/>
    <mergeCell ref="BS629:BW629"/>
    <mergeCell ref="H664:R664"/>
    <mergeCell ref="G645:R645"/>
    <mergeCell ref="BE607:BF607"/>
    <mergeCell ref="BE608:BF608"/>
    <mergeCell ref="BN601:BR601"/>
    <mergeCell ref="BE624:BF624"/>
    <mergeCell ref="BG624:BH624"/>
    <mergeCell ref="BI624:BJ624"/>
    <mergeCell ref="BG628:BH628"/>
    <mergeCell ref="BI628:BJ628"/>
    <mergeCell ref="BK628:BL628"/>
    <mergeCell ref="BN660:BR660"/>
    <mergeCell ref="BI609:BJ609"/>
    <mergeCell ref="BI631:BJ631"/>
    <mergeCell ref="BE630:BF630"/>
    <mergeCell ref="BS645:BW645"/>
    <mergeCell ref="BN647:BR647"/>
    <mergeCell ref="BN638:BR638"/>
    <mergeCell ref="BN641:BR641"/>
    <mergeCell ref="BN637:BR637"/>
    <mergeCell ref="BS631:BW631"/>
    <mergeCell ref="BS648:BW648"/>
    <mergeCell ref="BI629:BJ629"/>
    <mergeCell ref="BS619:BW619"/>
    <mergeCell ref="BG618:BH618"/>
    <mergeCell ref="BS639:BW639"/>
    <mergeCell ref="AO640:AS640"/>
    <mergeCell ref="AI613:AK613"/>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BN626:BR626"/>
    <mergeCell ref="BE627:BF627"/>
    <mergeCell ref="BN622:BR622"/>
    <mergeCell ref="BX609:CB609"/>
    <mergeCell ref="BX608:CB608"/>
    <mergeCell ref="BE612:BF612"/>
    <mergeCell ref="BX611:CB611"/>
    <mergeCell ref="BX614:CB614"/>
    <mergeCell ref="BS613:BW613"/>
    <mergeCell ref="BI611:BJ611"/>
    <mergeCell ref="BE623:BF623"/>
    <mergeCell ref="BG623:BH623"/>
    <mergeCell ref="BN612:BR612"/>
    <mergeCell ref="BI614:BJ614"/>
    <mergeCell ref="BN620:BR620"/>
    <mergeCell ref="BE621:BF621"/>
    <mergeCell ref="CC610:CG610"/>
    <mergeCell ref="BG621:BH621"/>
    <mergeCell ref="BN621:BR621"/>
    <mergeCell ref="BS621:BW621"/>
    <mergeCell ref="BX621:CB621"/>
    <mergeCell ref="BN623:BR623"/>
    <mergeCell ref="BE609:BF609"/>
    <mergeCell ref="BS623:BW623"/>
    <mergeCell ref="BE610:BF610"/>
    <mergeCell ref="BX619:CB619"/>
    <mergeCell ref="BX618:CB618"/>
    <mergeCell ref="BE613:BF613"/>
    <mergeCell ref="BN618:BR618"/>
    <mergeCell ref="BK617:BL617"/>
    <mergeCell ref="BN614:BR614"/>
    <mergeCell ref="BI615:BJ615"/>
    <mergeCell ref="BE617:BF617"/>
    <mergeCell ref="BI618:BJ618"/>
    <mergeCell ref="BK618:BL618"/>
    <mergeCell ref="BE615:BF615"/>
    <mergeCell ref="BK611:BL611"/>
    <mergeCell ref="BE620:BF620"/>
    <mergeCell ref="BG620:BH620"/>
    <mergeCell ref="BI620:BJ620"/>
    <mergeCell ref="BK620:BL620"/>
    <mergeCell ref="BK619:BL619"/>
    <mergeCell ref="BK614:BL614"/>
    <mergeCell ref="BI613:BJ613"/>
    <mergeCell ref="BK613:BL613"/>
    <mergeCell ref="BI612:BJ612"/>
    <mergeCell ref="BK612:BL612"/>
    <mergeCell ref="BG612:BH612"/>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6:CG606"/>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CC597:CG597"/>
    <mergeCell ref="BE606:BF606"/>
    <mergeCell ref="BE597:BF597"/>
    <mergeCell ref="N591:O591"/>
    <mergeCell ref="AA590:AK590"/>
    <mergeCell ref="BG606:BH606"/>
    <mergeCell ref="BX604:CB604"/>
    <mergeCell ref="AI589:AK589"/>
    <mergeCell ref="Z596:AK596"/>
    <mergeCell ref="H598:R598"/>
    <mergeCell ref="BK598:BL598"/>
    <mergeCell ref="CC601:CG601"/>
    <mergeCell ref="CC602:CG602"/>
    <mergeCell ref="G604:R604"/>
    <mergeCell ref="BX596:CB596"/>
    <mergeCell ref="BG601:BH601"/>
    <mergeCell ref="BI599:BJ599"/>
    <mergeCell ref="BN600:BR600"/>
    <mergeCell ref="BX606:CB606"/>
    <mergeCell ref="BX605:CB605"/>
    <mergeCell ref="BX602:CB602"/>
    <mergeCell ref="BI601:BJ601"/>
    <mergeCell ref="BG596:BH596"/>
    <mergeCell ref="BX603:CB603"/>
    <mergeCell ref="BG603:BH603"/>
    <mergeCell ref="BS605:BW605"/>
    <mergeCell ref="BI600:BJ600"/>
    <mergeCell ref="BN603:BR603"/>
    <mergeCell ref="BN606:BR606"/>
    <mergeCell ref="BK606:BL606"/>
    <mergeCell ref="BE603:BF603"/>
    <mergeCell ref="BE600:BF600"/>
    <mergeCell ref="BK603:BL603"/>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AI315:AK315"/>
    <mergeCell ref="AA312:AK312"/>
    <mergeCell ref="AA329:AK329"/>
    <mergeCell ref="W466:Y466"/>
    <mergeCell ref="W473:Y473"/>
    <mergeCell ref="H304:R304"/>
    <mergeCell ref="M261:T261"/>
    <mergeCell ref="AH262:AK262"/>
    <mergeCell ref="AA311:AK311"/>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3:AK303"/>
    <mergeCell ref="AA304:AK304"/>
    <mergeCell ref="AA305:AK305"/>
    <mergeCell ref="AA306:AK306"/>
    <mergeCell ref="AA307:AF307"/>
    <mergeCell ref="AA309:AK309"/>
    <mergeCell ref="H299:M299"/>
    <mergeCell ref="M263:R263"/>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300:M300"/>
    <mergeCell ref="AA257:AK257"/>
    <mergeCell ref="M260:AE260"/>
    <mergeCell ref="AA265:AK265"/>
    <mergeCell ref="H295:R295"/>
    <mergeCell ref="AF251:AK251"/>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I227:AJ227"/>
    <mergeCell ref="Y123:AK123"/>
    <mergeCell ref="A105:AT106"/>
    <mergeCell ref="L113:O113"/>
    <mergeCell ref="Y120:AK120"/>
    <mergeCell ref="O160:T160"/>
    <mergeCell ref="AI178:AK178"/>
    <mergeCell ref="M234:T234"/>
    <mergeCell ref="W234:X234"/>
    <mergeCell ref="AB212:AC212"/>
    <mergeCell ref="AC234:AE234"/>
    <mergeCell ref="AH197:AI197"/>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I190:N190"/>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Z247:AE247"/>
    <mergeCell ref="W245:X245"/>
    <mergeCell ref="U247:W247"/>
    <mergeCell ref="M237:AE237"/>
    <mergeCell ref="AC245:AE245"/>
    <mergeCell ref="M246:AE246"/>
    <mergeCell ref="AA238:AK238"/>
    <mergeCell ref="M244:AE244"/>
    <mergeCell ref="Z205:AN205"/>
    <mergeCell ref="M249:T249"/>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M27:Q27"/>
    <mergeCell ref="A83:AT84"/>
    <mergeCell ref="M247:R247"/>
    <mergeCell ref="M245:T245"/>
    <mergeCell ref="D208:M208"/>
    <mergeCell ref="Y117:AK117"/>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C554:L554"/>
    <mergeCell ref="C555:L555"/>
    <mergeCell ref="D444:AF444"/>
    <mergeCell ref="AH526:AK526"/>
    <mergeCell ref="AC518:AF518"/>
    <mergeCell ref="Q551:S553"/>
    <mergeCell ref="T551:V553"/>
    <mergeCell ref="AA332:AF332"/>
    <mergeCell ref="AA328:AK328"/>
    <mergeCell ref="AC508:AF508"/>
    <mergeCell ref="AH503:AK503"/>
    <mergeCell ref="AC500:AF500"/>
    <mergeCell ref="Q485:AK485"/>
    <mergeCell ref="G474:V474"/>
    <mergeCell ref="W474:Y474"/>
    <mergeCell ref="Z554:AD554"/>
    <mergeCell ref="W469:Y469"/>
    <mergeCell ref="AC542:AF542"/>
    <mergeCell ref="AC533:AF533"/>
    <mergeCell ref="Z555:AD555"/>
    <mergeCell ref="I421:K421"/>
    <mergeCell ref="AH542:AK542"/>
    <mergeCell ref="AG401:AJ401"/>
    <mergeCell ref="D445:AF445"/>
    <mergeCell ref="D446:AF446"/>
    <mergeCell ref="D447:AF447"/>
    <mergeCell ref="J388:U388"/>
    <mergeCell ref="D467:V467"/>
    <mergeCell ref="AG441:AJ441"/>
    <mergeCell ref="AG438:AJ438"/>
    <mergeCell ref="AG394:AJ394"/>
    <mergeCell ref="E420:AJ420"/>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1:AK331"/>
    <mergeCell ref="P339:R339"/>
    <mergeCell ref="N363:O363"/>
    <mergeCell ref="M357:N357"/>
    <mergeCell ref="H340:M340"/>
    <mergeCell ref="H316:M316"/>
    <mergeCell ref="AA322:AK322"/>
    <mergeCell ref="H292:M292"/>
    <mergeCell ref="H309:R309"/>
    <mergeCell ref="H313:R313"/>
    <mergeCell ref="T564:V564"/>
    <mergeCell ref="Z570:AK570"/>
    <mergeCell ref="P346:AE346"/>
    <mergeCell ref="P344:AE344"/>
    <mergeCell ref="AI560:AL560"/>
    <mergeCell ref="T562:V562"/>
    <mergeCell ref="O529:AA529"/>
    <mergeCell ref="AH533:AK533"/>
    <mergeCell ref="W564:Y564"/>
    <mergeCell ref="T560:V560"/>
    <mergeCell ref="Z561:AD561"/>
    <mergeCell ref="M562:P562"/>
    <mergeCell ref="M563:P563"/>
    <mergeCell ref="Z560:AD560"/>
    <mergeCell ref="AD412:AE412"/>
    <mergeCell ref="H414:AE415"/>
    <mergeCell ref="AE425:AF425"/>
    <mergeCell ref="AE560:AH560"/>
    <mergeCell ref="T556:V556"/>
    <mergeCell ref="AC520:AF520"/>
    <mergeCell ref="T557:V557"/>
    <mergeCell ref="C556:L556"/>
    <mergeCell ref="M556:P556"/>
    <mergeCell ref="AC527:AF527"/>
    <mergeCell ref="B520:H542"/>
    <mergeCell ref="I392:N392"/>
    <mergeCell ref="AI557:AL557"/>
    <mergeCell ref="Q562:S562"/>
    <mergeCell ref="AC509:AF509"/>
    <mergeCell ref="AC525:AF525"/>
    <mergeCell ref="AE556:AH556"/>
    <mergeCell ref="B503:H508"/>
    <mergeCell ref="Z654:AK654"/>
    <mergeCell ref="AI647:AK647"/>
    <mergeCell ref="P581:R581"/>
    <mergeCell ref="AA582:AK582"/>
    <mergeCell ref="T724:W724"/>
    <mergeCell ref="G718:J718"/>
    <mergeCell ref="AH719:AJ719"/>
    <mergeCell ref="G670:R670"/>
    <mergeCell ref="Z669:AK669"/>
    <mergeCell ref="E707:AK707"/>
    <mergeCell ref="W706:AK706"/>
    <mergeCell ref="N649:O649"/>
    <mergeCell ref="G568:R568"/>
    <mergeCell ref="M574:R574"/>
    <mergeCell ref="C558:L558"/>
    <mergeCell ref="AC507:AF507"/>
    <mergeCell ref="D470:V470"/>
    <mergeCell ref="AC536:AF536"/>
    <mergeCell ref="Q559:S559"/>
    <mergeCell ref="AI556:AL556"/>
    <mergeCell ref="Z668:AK668"/>
    <mergeCell ref="P663:R663"/>
    <mergeCell ref="G659:R659"/>
    <mergeCell ref="AF637:AJ637"/>
    <mergeCell ref="AF638:AJ638"/>
    <mergeCell ref="AG649:AH649"/>
    <mergeCell ref="Z663:AE663"/>
    <mergeCell ref="G647:L647"/>
    <mergeCell ref="M636:P636"/>
    <mergeCell ref="M637:P637"/>
    <mergeCell ref="M638:P638"/>
    <mergeCell ref="AE562:AH562"/>
    <mergeCell ref="B722:F722"/>
    <mergeCell ref="G679:L679"/>
    <mergeCell ref="AC722:AG722"/>
    <mergeCell ref="T720:W720"/>
    <mergeCell ref="Z671:AE671"/>
    <mergeCell ref="K719:N719"/>
    <mergeCell ref="G721:J721"/>
    <mergeCell ref="G722:J722"/>
    <mergeCell ref="O714:S717"/>
    <mergeCell ref="K714:N717"/>
    <mergeCell ref="T722:W722"/>
    <mergeCell ref="G719:J719"/>
    <mergeCell ref="O718:S718"/>
    <mergeCell ref="O720:S720"/>
    <mergeCell ref="G714:J717"/>
    <mergeCell ref="AE699:AI699"/>
    <mergeCell ref="AH720:AJ720"/>
    <mergeCell ref="X718:AB718"/>
    <mergeCell ref="Z676:AK676"/>
    <mergeCell ref="W700:AK700"/>
    <mergeCell ref="Z683:AK683"/>
    <mergeCell ref="AA688:AK688"/>
    <mergeCell ref="AC719:AG719"/>
    <mergeCell ref="X720:AB720"/>
    <mergeCell ref="X722:AB722"/>
    <mergeCell ref="Z685:AK685"/>
    <mergeCell ref="G675:R675"/>
    <mergeCell ref="AI687:AK687"/>
    <mergeCell ref="K718:N718"/>
    <mergeCell ref="B719:F719"/>
    <mergeCell ref="B714:F717"/>
    <mergeCell ref="T718:W718"/>
    <mergeCell ref="O721:S721"/>
    <mergeCell ref="K722:N722"/>
    <mergeCell ref="K723:N723"/>
    <mergeCell ref="K725:N725"/>
    <mergeCell ref="AI663:AK663"/>
    <mergeCell ref="Z661:AK661"/>
    <mergeCell ref="Z667:AK667"/>
    <mergeCell ref="X723:AB723"/>
    <mergeCell ref="T719:W719"/>
    <mergeCell ref="O724:S724"/>
    <mergeCell ref="T725:W725"/>
    <mergeCell ref="G724:J724"/>
    <mergeCell ref="AE693:AF693"/>
    <mergeCell ref="Z686:AK686"/>
    <mergeCell ref="W703:AK703"/>
    <mergeCell ref="G678:R678"/>
    <mergeCell ref="P679:R679"/>
    <mergeCell ref="T723:W723"/>
    <mergeCell ref="O723:S723"/>
    <mergeCell ref="B641:AN641"/>
    <mergeCell ref="W633:Y633"/>
    <mergeCell ref="Z630:AB630"/>
    <mergeCell ref="G668:R668"/>
    <mergeCell ref="P671:R671"/>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I581:AK581"/>
    <mergeCell ref="Z601:AK601"/>
    <mergeCell ref="W556:Y556"/>
    <mergeCell ref="Q832:T832"/>
    <mergeCell ref="AG830:AJ830"/>
    <mergeCell ref="U832:X832"/>
    <mergeCell ref="AA648:AK648"/>
    <mergeCell ref="M558:P558"/>
    <mergeCell ref="G585:R585"/>
    <mergeCell ref="AG575:AH575"/>
    <mergeCell ref="Z568:AK568"/>
    <mergeCell ref="Z571:AK571"/>
    <mergeCell ref="P589:R589"/>
    <mergeCell ref="AF628:AJ628"/>
    <mergeCell ref="Z580:AK580"/>
    <mergeCell ref="Z569:AK569"/>
    <mergeCell ref="C561:L561"/>
    <mergeCell ref="AG657:AH657"/>
    <mergeCell ref="G661:R661"/>
    <mergeCell ref="Z662:AK662"/>
    <mergeCell ref="N673:O673"/>
    <mergeCell ref="G687:L687"/>
    <mergeCell ref="AG681:AH681"/>
    <mergeCell ref="T558:V558"/>
    <mergeCell ref="W561:Y561"/>
    <mergeCell ref="Q558:S558"/>
    <mergeCell ref="AI572:AK572"/>
    <mergeCell ref="G570:R570"/>
    <mergeCell ref="G652:R652"/>
    <mergeCell ref="Z655:AE655"/>
    <mergeCell ref="AA656:AK656"/>
    <mergeCell ref="W635:Y635"/>
    <mergeCell ref="AF624:AJ626"/>
    <mergeCell ref="B639:AN639"/>
    <mergeCell ref="B640:AN640"/>
    <mergeCell ref="F831:L831"/>
    <mergeCell ref="M831:P831"/>
    <mergeCell ref="Y831:AB831"/>
    <mergeCell ref="U831:X831"/>
    <mergeCell ref="Q831:T831"/>
    <mergeCell ref="C828:H828"/>
    <mergeCell ref="M828:P828"/>
    <mergeCell ref="C827:H827"/>
    <mergeCell ref="C829:H829"/>
    <mergeCell ref="Q828:T828"/>
    <mergeCell ref="M825:P825"/>
    <mergeCell ref="Q825:T825"/>
    <mergeCell ref="P816:Y816"/>
    <mergeCell ref="O788:S788"/>
    <mergeCell ref="O795:S795"/>
    <mergeCell ref="AC791:AG791"/>
    <mergeCell ref="Q826:T826"/>
    <mergeCell ref="M829:P829"/>
    <mergeCell ref="AG831:AJ831"/>
    <mergeCell ref="U827:X827"/>
    <mergeCell ref="C826:H826"/>
    <mergeCell ref="U828:X828"/>
    <mergeCell ref="M830:P830"/>
    <mergeCell ref="C830:H830"/>
    <mergeCell ref="T795:W795"/>
    <mergeCell ref="Z808:AE808"/>
    <mergeCell ref="X794:AB794"/>
    <mergeCell ref="T796:W796"/>
    <mergeCell ref="AG823:AJ824"/>
    <mergeCell ref="X776:AB776"/>
    <mergeCell ref="AC775:AG775"/>
    <mergeCell ref="AC783:AG786"/>
    <mergeCell ref="J791:N791"/>
    <mergeCell ref="X792:AB792"/>
    <mergeCell ref="X793:AB793"/>
    <mergeCell ref="T783:W786"/>
    <mergeCell ref="X773:AB773"/>
    <mergeCell ref="O789:S789"/>
    <mergeCell ref="J775:N775"/>
    <mergeCell ref="AC776:AG776"/>
    <mergeCell ref="X789:AB789"/>
    <mergeCell ref="X790:AB790"/>
    <mergeCell ref="AC797:AG797"/>
    <mergeCell ref="AC787:AG787"/>
    <mergeCell ref="T791:W791"/>
    <mergeCell ref="T787:W787"/>
    <mergeCell ref="T788:W788"/>
    <mergeCell ref="T789:W789"/>
    <mergeCell ref="J788:N788"/>
    <mergeCell ref="Z807:AE807"/>
    <mergeCell ref="O774:S774"/>
    <mergeCell ref="T776:W776"/>
    <mergeCell ref="O796:S796"/>
    <mergeCell ref="M823:P824"/>
    <mergeCell ref="O797:S797"/>
    <mergeCell ref="O753:S753"/>
    <mergeCell ref="Z814:AE814"/>
    <mergeCell ref="O752:S752"/>
    <mergeCell ref="T741:W741"/>
    <mergeCell ref="T732:W732"/>
    <mergeCell ref="T731:W731"/>
    <mergeCell ref="AC796:AG796"/>
    <mergeCell ref="AC788:AG788"/>
    <mergeCell ref="X791:AB791"/>
    <mergeCell ref="O794:S794"/>
    <mergeCell ref="X769:AB772"/>
    <mergeCell ref="T769:W772"/>
    <mergeCell ref="AC793:AG793"/>
    <mergeCell ref="C766:AR768"/>
    <mergeCell ref="T749:W749"/>
    <mergeCell ref="K750:N750"/>
    <mergeCell ref="B741:F741"/>
    <mergeCell ref="AK732:AO732"/>
    <mergeCell ref="AK733:AO733"/>
    <mergeCell ref="AK734:AO734"/>
    <mergeCell ref="AK735:AO735"/>
    <mergeCell ref="AC740:AG740"/>
    <mergeCell ref="AC741:AG741"/>
    <mergeCell ref="AK741:AO741"/>
    <mergeCell ref="Y823:AB824"/>
    <mergeCell ref="Z815:AE815"/>
    <mergeCell ref="X774:AB774"/>
    <mergeCell ref="AK748:AO748"/>
    <mergeCell ref="M832:P832"/>
    <mergeCell ref="Q829:T829"/>
    <mergeCell ref="U825:X825"/>
    <mergeCell ref="Q827:T827"/>
    <mergeCell ref="AC828:AF828"/>
    <mergeCell ref="AG829:AJ829"/>
    <mergeCell ref="X775:AB775"/>
    <mergeCell ref="O783:S786"/>
    <mergeCell ref="AC777:AG777"/>
    <mergeCell ref="Q823:T824"/>
    <mergeCell ref="Z809:AE809"/>
    <mergeCell ref="O791:S791"/>
    <mergeCell ref="J783:N786"/>
    <mergeCell ref="U829:X829"/>
    <mergeCell ref="Z659:AK659"/>
    <mergeCell ref="N657:O657"/>
    <mergeCell ref="Z660:AK660"/>
    <mergeCell ref="G663:L663"/>
    <mergeCell ref="T739:W739"/>
    <mergeCell ref="G752:J752"/>
    <mergeCell ref="AC792:AG792"/>
    <mergeCell ref="AC794:AG794"/>
    <mergeCell ref="AC795:AG795"/>
    <mergeCell ref="O793:S793"/>
    <mergeCell ref="J790:N790"/>
    <mergeCell ref="AC789:AG789"/>
    <mergeCell ref="AC790:AG790"/>
    <mergeCell ref="J794:N794"/>
    <mergeCell ref="J789:N789"/>
    <mergeCell ref="C825:H825"/>
    <mergeCell ref="AG828:AJ828"/>
    <mergeCell ref="Q830:T830"/>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Z851:BA851"/>
    <mergeCell ref="W859:AC859"/>
    <mergeCell ref="W852:AC852"/>
    <mergeCell ref="R985:AA985"/>
    <mergeCell ref="AA970:AG970"/>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BD905:BF905"/>
    <mergeCell ref="BD904:BF904"/>
    <mergeCell ref="M967:S967"/>
    <mergeCell ref="AA966:AG966"/>
    <mergeCell ref="AA972:AG972"/>
    <mergeCell ref="AE961:AK961"/>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AE957:AK957"/>
    <mergeCell ref="M961:S961"/>
    <mergeCell ref="AA924:AF924"/>
    <mergeCell ref="U918:Z918"/>
    <mergeCell ref="U917:Z917"/>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D1064:AK1069"/>
    <mergeCell ref="W869:AC869"/>
    <mergeCell ref="D1086:AK1090"/>
    <mergeCell ref="D1025:AE1027"/>
    <mergeCell ref="U914:Z916"/>
    <mergeCell ref="AA974:AG974"/>
    <mergeCell ref="AA944:AF944"/>
    <mergeCell ref="D1076:AK1082"/>
    <mergeCell ref="U919:Z919"/>
    <mergeCell ref="BI617:BJ617"/>
    <mergeCell ref="Z652:AK652"/>
    <mergeCell ref="Q638:S638"/>
    <mergeCell ref="Z634:AB634"/>
    <mergeCell ref="Z635:AB635"/>
    <mergeCell ref="AO632:AS632"/>
    <mergeCell ref="H648:R648"/>
    <mergeCell ref="AC628:AE628"/>
    <mergeCell ref="C629:L629"/>
    <mergeCell ref="C630:L630"/>
    <mergeCell ref="P647:R647"/>
    <mergeCell ref="G654:R654"/>
    <mergeCell ref="W636:Y636"/>
    <mergeCell ref="W637:Y637"/>
    <mergeCell ref="Z644:AK644"/>
    <mergeCell ref="Z631:AB631"/>
    <mergeCell ref="G643:R643"/>
    <mergeCell ref="AC630:AE630"/>
    <mergeCell ref="AC631:AE631"/>
    <mergeCell ref="Z646:AK646"/>
    <mergeCell ref="M635:P635"/>
    <mergeCell ref="T635:V635"/>
    <mergeCell ref="T636:V636"/>
    <mergeCell ref="T637:V637"/>
    <mergeCell ref="T638:V638"/>
    <mergeCell ref="AK635:AN635"/>
    <mergeCell ref="AK636:AN636"/>
    <mergeCell ref="AF631:AJ631"/>
    <mergeCell ref="AF632:AJ632"/>
    <mergeCell ref="C635:L635"/>
    <mergeCell ref="C637:L637"/>
    <mergeCell ref="C638:L638"/>
    <mergeCell ref="BS630:BW630"/>
    <mergeCell ref="BN639:BR639"/>
    <mergeCell ref="Q635:S635"/>
    <mergeCell ref="AK629:AN629"/>
    <mergeCell ref="BN640:BR640"/>
    <mergeCell ref="Z632:AB632"/>
    <mergeCell ref="BN632:BR632"/>
    <mergeCell ref="T629:V629"/>
    <mergeCell ref="T630:V630"/>
    <mergeCell ref="T631:V631"/>
    <mergeCell ref="T632:V632"/>
    <mergeCell ref="T633:V633"/>
    <mergeCell ref="AK634:AN634"/>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BG632:BH632"/>
    <mergeCell ref="BK632:BL632"/>
    <mergeCell ref="BK629:BL629"/>
    <mergeCell ref="BE626:BF626"/>
    <mergeCell ref="BG626:BH626"/>
    <mergeCell ref="BI626:BJ626"/>
    <mergeCell ref="BK626:BL626"/>
    <mergeCell ref="BK631:BL631"/>
    <mergeCell ref="BN631:BR631"/>
    <mergeCell ref="AO639:AS639"/>
    <mergeCell ref="AO629:AS629"/>
    <mergeCell ref="AF630:AJ630"/>
    <mergeCell ref="AO638:AS638"/>
    <mergeCell ref="BG630:BH630"/>
    <mergeCell ref="W630:Y630"/>
    <mergeCell ref="Z627:AB627"/>
    <mergeCell ref="BE631:BF631"/>
    <mergeCell ref="AF627:AJ627"/>
    <mergeCell ref="W632:Y632"/>
    <mergeCell ref="Q636:S636"/>
    <mergeCell ref="Q637:S637"/>
    <mergeCell ref="AK627:AN627"/>
    <mergeCell ref="W628:Y628"/>
    <mergeCell ref="W629:Y629"/>
    <mergeCell ref="Z633:AB633"/>
    <mergeCell ref="T628:V628"/>
    <mergeCell ref="BI630:BJ630"/>
    <mergeCell ref="BE629:BF629"/>
    <mergeCell ref="BG629:BH629"/>
    <mergeCell ref="BG631:BH631"/>
    <mergeCell ref="AC635:AE635"/>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BG616:BH616"/>
    <mergeCell ref="CC621:CG621"/>
    <mergeCell ref="CH621:CL621"/>
    <mergeCell ref="CC626:CG626"/>
    <mergeCell ref="BG619:BH619"/>
    <mergeCell ref="CH618:CL618"/>
    <mergeCell ref="BI619:BJ619"/>
    <mergeCell ref="CH613:CL613"/>
    <mergeCell ref="BI621:BJ621"/>
    <mergeCell ref="BN625:BR625"/>
    <mergeCell ref="BN627:BR627"/>
    <mergeCell ref="BI623:BJ623"/>
    <mergeCell ref="BK623:BL623"/>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CH611:CL611"/>
    <mergeCell ref="BS611:BW611"/>
    <mergeCell ref="BG609:BH609"/>
    <mergeCell ref="BS617:BW617"/>
    <mergeCell ref="CM612:CQ612"/>
    <mergeCell ref="CM613:CQ613"/>
    <mergeCell ref="CM614:CQ614"/>
    <mergeCell ref="CM615:CQ615"/>
    <mergeCell ref="BG615:BH615"/>
    <mergeCell ref="CH610:CL610"/>
    <mergeCell ref="BX616:CB616"/>
    <mergeCell ref="CC612:CG612"/>
    <mergeCell ref="BS614:BW614"/>
    <mergeCell ref="CH612:CL612"/>
    <mergeCell ref="BE614:BF614"/>
    <mergeCell ref="BN617:BR617"/>
    <mergeCell ref="CH615:CL615"/>
    <mergeCell ref="AM561:AS561"/>
    <mergeCell ref="AA614:AK614"/>
    <mergeCell ref="G613:L613"/>
    <mergeCell ref="AI563:AL563"/>
    <mergeCell ref="Z562:AD562"/>
    <mergeCell ref="Z563:AD563"/>
    <mergeCell ref="AI564:AL564"/>
    <mergeCell ref="G597:L597"/>
    <mergeCell ref="AG591:AH591"/>
    <mergeCell ref="P605:R605"/>
    <mergeCell ref="AF574:AK574"/>
    <mergeCell ref="Z585:AK585"/>
    <mergeCell ref="AI561:AL561"/>
    <mergeCell ref="M565:P565"/>
    <mergeCell ref="T563:V563"/>
    <mergeCell ref="Z564:AD564"/>
    <mergeCell ref="Z565:AD565"/>
    <mergeCell ref="Z572:AE572"/>
    <mergeCell ref="T565:V565"/>
    <mergeCell ref="Z613:AE613"/>
    <mergeCell ref="Z605:AE605"/>
    <mergeCell ref="G593:R593"/>
    <mergeCell ref="G579:R579"/>
    <mergeCell ref="Q564:S564"/>
    <mergeCell ref="AE561:AH561"/>
    <mergeCell ref="AM562:AS562"/>
    <mergeCell ref="AI562:AL562"/>
    <mergeCell ref="AE565:AH565"/>
    <mergeCell ref="Z611:AK611"/>
    <mergeCell ref="M561:P561"/>
    <mergeCell ref="AM564:AS564"/>
    <mergeCell ref="AE564:AH564"/>
    <mergeCell ref="AM559:AS559"/>
    <mergeCell ref="C560:L560"/>
    <mergeCell ref="Z559:AD559"/>
    <mergeCell ref="AH515:AK515"/>
    <mergeCell ref="AC516:AF516"/>
    <mergeCell ref="AH509:AK509"/>
    <mergeCell ref="AC503:AF503"/>
    <mergeCell ref="AC513:AF513"/>
    <mergeCell ref="D473:V473"/>
    <mergeCell ref="AC504:AF504"/>
    <mergeCell ref="S489:AK490"/>
    <mergeCell ref="AC531:AF531"/>
    <mergeCell ref="AH500:AK500"/>
    <mergeCell ref="M555:P555"/>
    <mergeCell ref="AC540:AF540"/>
    <mergeCell ref="M557:P557"/>
    <mergeCell ref="C557:L557"/>
    <mergeCell ref="Q557:S557"/>
    <mergeCell ref="B551:L553"/>
    <mergeCell ref="M551:P553"/>
    <mergeCell ref="M560:P560"/>
    <mergeCell ref="AC501:AF501"/>
    <mergeCell ref="AH507:AK507"/>
    <mergeCell ref="AH521:AK521"/>
    <mergeCell ref="AC530:AF530"/>
    <mergeCell ref="O526:AA526"/>
    <mergeCell ref="AM555:AS555"/>
    <mergeCell ref="W551:Y553"/>
    <mergeCell ref="AC512:AF512"/>
    <mergeCell ref="AH512:AK512"/>
    <mergeCell ref="AH516:AK516"/>
    <mergeCell ref="Q554:S554"/>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H608:CL608"/>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H614:DL614"/>
    <mergeCell ref="DM614:DQ614"/>
    <mergeCell ref="CX614:DB614"/>
    <mergeCell ref="CS614:CW614"/>
    <mergeCell ref="CX613:DB613"/>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Z817:AE817"/>
    <mergeCell ref="X795:AB795"/>
    <mergeCell ref="Z818:AE818"/>
    <mergeCell ref="AC826:AF826"/>
    <mergeCell ref="AC827:AF827"/>
    <mergeCell ref="Y826:AB826"/>
    <mergeCell ref="Z813:AE813"/>
    <mergeCell ref="Y825:AB825"/>
    <mergeCell ref="AH750:AJ750"/>
    <mergeCell ref="AH751:AJ751"/>
    <mergeCell ref="AC753:AG753"/>
    <mergeCell ref="Y801:AC801"/>
    <mergeCell ref="Y800:AC800"/>
    <mergeCell ref="AG665:AH665"/>
    <mergeCell ref="AC831:AF831"/>
    <mergeCell ref="AG756:AJ756"/>
    <mergeCell ref="AC752:AG752"/>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G848:BL848"/>
    <mergeCell ref="AH731:AJ731"/>
    <mergeCell ref="BD907:BE907"/>
    <mergeCell ref="U946:Z946"/>
    <mergeCell ref="AA664:AK664"/>
    <mergeCell ref="BD902:BE902"/>
    <mergeCell ref="W849:AC849"/>
    <mergeCell ref="M877:V877"/>
    <mergeCell ref="G646:R646"/>
    <mergeCell ref="BN646:BR646"/>
    <mergeCell ref="G655:L655"/>
    <mergeCell ref="H656:R656"/>
    <mergeCell ref="G651:R651"/>
    <mergeCell ref="U944:Z944"/>
    <mergeCell ref="AA933:AF933"/>
    <mergeCell ref="U920:Z920"/>
    <mergeCell ref="AA920:AF920"/>
    <mergeCell ref="AE955:AK955"/>
    <mergeCell ref="AA946:AF946"/>
    <mergeCell ref="AC883:AH883"/>
    <mergeCell ref="Z901:AE901"/>
    <mergeCell ref="W863:AC863"/>
    <mergeCell ref="AC891:AH891"/>
    <mergeCell ref="C893:AB893"/>
    <mergeCell ref="AG832:AJ832"/>
    <mergeCell ref="W844:AC844"/>
    <mergeCell ref="AC832:AF832"/>
    <mergeCell ref="W874:AC874"/>
    <mergeCell ref="W857:AC857"/>
    <mergeCell ref="W842:AC842"/>
    <mergeCell ref="W847:AC847"/>
    <mergeCell ref="W878:AC878"/>
    <mergeCell ref="W855:AC855"/>
    <mergeCell ref="C832:L832"/>
    <mergeCell ref="W846:AC846"/>
    <mergeCell ref="U923:Z923"/>
    <mergeCell ref="AC892:AH892"/>
    <mergeCell ref="AA939:AF939"/>
    <mergeCell ref="AC886:AH886"/>
    <mergeCell ref="M871:V871"/>
    <mergeCell ref="M878:V878"/>
    <mergeCell ref="W870:AC870"/>
    <mergeCell ref="W866:AC866"/>
    <mergeCell ref="M874:V874"/>
    <mergeCell ref="W876:AC876"/>
    <mergeCell ref="U949:Z949"/>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1103:B1103"/>
    <mergeCell ref="G725:J725"/>
    <mergeCell ref="B730:F730"/>
    <mergeCell ref="B752:F752"/>
    <mergeCell ref="AG826:AJ826"/>
    <mergeCell ref="AG825:AJ825"/>
    <mergeCell ref="B733:F733"/>
    <mergeCell ref="B731:F731"/>
    <mergeCell ref="AG1035:AH1035"/>
    <mergeCell ref="AC746:AG746"/>
    <mergeCell ref="AC747:AG747"/>
    <mergeCell ref="AK746:AO746"/>
    <mergeCell ref="AK747:AO747"/>
    <mergeCell ref="M827:P827"/>
    <mergeCell ref="J797:N797"/>
    <mergeCell ref="J795:N795"/>
    <mergeCell ref="AC774:AG774"/>
    <mergeCell ref="X777:AB777"/>
    <mergeCell ref="J779:K779"/>
    <mergeCell ref="J787:N787"/>
    <mergeCell ref="O750:S750"/>
    <mergeCell ref="T742:W742"/>
    <mergeCell ref="X745:AB745"/>
    <mergeCell ref="X746:AB746"/>
    <mergeCell ref="C798:AN799"/>
    <mergeCell ref="K751:N751"/>
    <mergeCell ref="O751:S751"/>
    <mergeCell ref="T751:W751"/>
    <mergeCell ref="B742:F742"/>
    <mergeCell ref="B743:F743"/>
    <mergeCell ref="B744:F744"/>
    <mergeCell ref="B745:F745"/>
    <mergeCell ref="T744:W744"/>
    <mergeCell ref="AK742:AO742"/>
    <mergeCell ref="X742:AB742"/>
    <mergeCell ref="T790:W790"/>
    <mergeCell ref="O790:S790"/>
    <mergeCell ref="K745:N745"/>
    <mergeCell ref="G578:R578"/>
    <mergeCell ref="Z602:AK602"/>
    <mergeCell ref="Z593:AK593"/>
    <mergeCell ref="C633:L633"/>
    <mergeCell ref="D1091:AK1093"/>
    <mergeCell ref="G686:R686"/>
    <mergeCell ref="N689:O689"/>
    <mergeCell ref="G734:J734"/>
    <mergeCell ref="AJ988:AQ988"/>
    <mergeCell ref="O737:S737"/>
    <mergeCell ref="O738:S738"/>
    <mergeCell ref="Z687:AE687"/>
    <mergeCell ref="AH718:AJ718"/>
    <mergeCell ref="T721:W721"/>
    <mergeCell ref="AC718:AG718"/>
    <mergeCell ref="M959:S959"/>
    <mergeCell ref="Z900:AE900"/>
    <mergeCell ref="X741:AB741"/>
    <mergeCell ref="T727:W727"/>
    <mergeCell ref="U826:X826"/>
    <mergeCell ref="AK714:AO717"/>
    <mergeCell ref="R987:AA987"/>
    <mergeCell ref="AC825:AF825"/>
    <mergeCell ref="AG827:AJ827"/>
    <mergeCell ref="M826:P826"/>
    <mergeCell ref="D1083:AK1085"/>
    <mergeCell ref="J792:N792"/>
    <mergeCell ref="W871:AC871"/>
    <mergeCell ref="J793:N793"/>
    <mergeCell ref="AC729:AG729"/>
    <mergeCell ref="O728:S728"/>
    <mergeCell ref="O729:S729"/>
    <mergeCell ref="AK631:AN631"/>
    <mergeCell ref="AK632:AN632"/>
    <mergeCell ref="K748:N748"/>
    <mergeCell ref="O748:S748"/>
    <mergeCell ref="T775:W775"/>
    <mergeCell ref="AC638:AE638"/>
    <mergeCell ref="G586:R586"/>
    <mergeCell ref="G603:R603"/>
    <mergeCell ref="N607:O607"/>
    <mergeCell ref="P597:R597"/>
    <mergeCell ref="AK723:AO723"/>
    <mergeCell ref="AO641:AS641"/>
    <mergeCell ref="G644:R644"/>
    <mergeCell ref="Z645:AK645"/>
    <mergeCell ref="P655:R655"/>
    <mergeCell ref="Z653:AK653"/>
    <mergeCell ref="Z647:AE647"/>
    <mergeCell ref="W634:Y634"/>
    <mergeCell ref="H590:R590"/>
    <mergeCell ref="G587:R587"/>
    <mergeCell ref="O745:S745"/>
    <mergeCell ref="T743:W743"/>
    <mergeCell ref="K744:N744"/>
    <mergeCell ref="AO624:AS626"/>
    <mergeCell ref="C636:L636"/>
    <mergeCell ref="G729:J729"/>
    <mergeCell ref="B729:F729"/>
    <mergeCell ref="J769:N772"/>
    <mergeCell ref="AC750:AG750"/>
    <mergeCell ref="AC751:AG751"/>
    <mergeCell ref="O749:S749"/>
    <mergeCell ref="X751:AB751"/>
    <mergeCell ref="W562:Y562"/>
    <mergeCell ref="W563:Y563"/>
    <mergeCell ref="H573:R573"/>
    <mergeCell ref="B566:AL566"/>
    <mergeCell ref="Q624:S626"/>
    <mergeCell ref="N575:O575"/>
    <mergeCell ref="H582:R582"/>
    <mergeCell ref="Z587:AK587"/>
    <mergeCell ref="T972:Z972"/>
    <mergeCell ref="I946:T946"/>
    <mergeCell ref="AH724:AJ724"/>
    <mergeCell ref="G667:R667"/>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617:AT618"/>
    <mergeCell ref="B624:L626"/>
    <mergeCell ref="Z588:AK588"/>
    <mergeCell ref="Z578:AK578"/>
    <mergeCell ref="Z603:AK603"/>
    <mergeCell ref="AI605:AK605"/>
    <mergeCell ref="AF634:AJ634"/>
    <mergeCell ref="AK630:AN630"/>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AC744:AG744"/>
    <mergeCell ref="AC745:AG745"/>
    <mergeCell ref="O747:S747"/>
    <mergeCell ref="T747:W747"/>
    <mergeCell ref="AC748:AG748"/>
    <mergeCell ref="K734:N734"/>
    <mergeCell ref="AC733:AG733"/>
    <mergeCell ref="AC731:AG731"/>
    <mergeCell ref="AC732:AG73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J1000:AQ1005"/>
    <mergeCell ref="AJ1019:AQ1023"/>
    <mergeCell ref="D1019:AE1020"/>
    <mergeCell ref="AB990:AI990"/>
    <mergeCell ref="D1024:AE1024"/>
    <mergeCell ref="AF1025:AI1025"/>
    <mergeCell ref="AA967:AG967"/>
    <mergeCell ref="AE954:AK954"/>
    <mergeCell ref="I949:T949"/>
    <mergeCell ref="AA942:AF942"/>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988:Q988"/>
    <mergeCell ref="AJ1044:AQ1047"/>
    <mergeCell ref="AJ1048:AQ1051"/>
    <mergeCell ref="U928:Z928"/>
    <mergeCell ref="AA928:AF928"/>
    <mergeCell ref="U929:Z929"/>
    <mergeCell ref="AA929:AF929"/>
    <mergeCell ref="U930:Z930"/>
    <mergeCell ref="U939:Z939"/>
    <mergeCell ref="F935:T935"/>
    <mergeCell ref="U935:Z935"/>
    <mergeCell ref="AA935:AF935"/>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M616:EQ616"/>
    <mergeCell ref="EH613:EL613"/>
    <mergeCell ref="EM613:EQ613"/>
    <mergeCell ref="ER613:EV613"/>
    <mergeCell ref="EW613:FA613"/>
    <mergeCell ref="DX614:EB614"/>
    <mergeCell ref="EC614:EG614"/>
    <mergeCell ref="DX617:EB617"/>
    <mergeCell ref="EW619:FA619"/>
    <mergeCell ref="ER621:EV621"/>
    <mergeCell ref="EM614:EQ614"/>
    <mergeCell ref="ER614:EV614"/>
    <mergeCell ref="EW614:FA614"/>
    <mergeCell ref="DX609:EB609"/>
    <mergeCell ref="EH615:EL615"/>
    <mergeCell ref="EM624:EQ624"/>
    <mergeCell ref="DX612:EB612"/>
    <mergeCell ref="EC612:EG612"/>
    <mergeCell ref="EH612:EL612"/>
    <mergeCell ref="EM612:EQ612"/>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W611:FA611"/>
    <mergeCell ref="EM615:EQ615"/>
    <mergeCell ref="ER615:EV615"/>
    <mergeCell ref="EW615:FA615"/>
    <mergeCell ref="DX616:EB616"/>
    <mergeCell ref="EC616:EG616"/>
    <mergeCell ref="EH616:EL616"/>
    <mergeCell ref="DX619:EB619"/>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M636:EQ636"/>
    <mergeCell ref="DX637:EB637"/>
    <mergeCell ref="EW644:FA644"/>
    <mergeCell ref="EC641:EG641"/>
    <mergeCell ref="EC643:EG643"/>
    <mergeCell ref="EH630:EL630"/>
    <mergeCell ref="EC619:EG619"/>
    <mergeCell ref="EC624:EG624"/>
    <mergeCell ref="DX643:EB643"/>
    <mergeCell ref="EW639:FA639"/>
    <mergeCell ref="DX640:EB640"/>
    <mergeCell ref="EC640:EG640"/>
    <mergeCell ref="EW640:FA640"/>
    <mergeCell ref="ER643:EV643"/>
    <mergeCell ref="ER640:EV640"/>
    <mergeCell ref="ER639:EV639"/>
    <mergeCell ref="DX659:EB659"/>
    <mergeCell ref="EH645:EL645"/>
    <mergeCell ref="EM645:EQ645"/>
    <mergeCell ref="EW636:FA636"/>
    <mergeCell ref="EM659:EQ659"/>
    <mergeCell ref="ER659:EV659"/>
    <mergeCell ref="EW659:FA659"/>
    <mergeCell ref="EC659:EG659"/>
    <mergeCell ref="EH659:EL659"/>
    <mergeCell ref="EH640:EL640"/>
    <mergeCell ref="EM640:EQ640"/>
    <mergeCell ref="DX639:EB639"/>
    <mergeCell ref="ER637:EV637"/>
    <mergeCell ref="EC653:EG653"/>
    <mergeCell ref="DX654:EB654"/>
    <mergeCell ref="EC654:EG654"/>
    <mergeCell ref="EH654:EL654"/>
    <mergeCell ref="EM649:EQ649"/>
    <mergeCell ref="EH653:EL653"/>
    <mergeCell ref="EM653:EQ653"/>
    <mergeCell ref="ER653:EV653"/>
    <mergeCell ref="EW637:FA637"/>
    <mergeCell ref="ER656:EV656"/>
    <mergeCell ref="DX645:EB645"/>
    <mergeCell ref="EW649:FA649"/>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DX658:EB658"/>
    <mergeCell ref="EC658:EG658"/>
    <mergeCell ref="EH658:EL658"/>
    <mergeCell ref="EM658:EQ658"/>
    <mergeCell ref="ER658:EV658"/>
    <mergeCell ref="EW658:FA658"/>
    <mergeCell ref="EC662:EG662"/>
    <mergeCell ref="EH662:EL662"/>
    <mergeCell ref="EH650:EL650"/>
    <mergeCell ref="EM650:EQ650"/>
    <mergeCell ref="DX653:EB653"/>
    <mergeCell ref="EC648:EG648"/>
    <mergeCell ref="DX660:EB660"/>
    <mergeCell ref="EC660:EG660"/>
    <mergeCell ref="EH660:EL660"/>
    <mergeCell ref="EW651:FA651"/>
    <mergeCell ref="EM654:EQ654"/>
    <mergeCell ref="ER654:EV654"/>
    <mergeCell ref="EM652:EQ652"/>
    <mergeCell ref="DX650:EB650"/>
    <mergeCell ref="EC650:EG650"/>
    <mergeCell ref="EC655:EG655"/>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R670:EV670"/>
    <mergeCell ref="DX669:EB669"/>
    <mergeCell ref="EC670:EG670"/>
    <mergeCell ref="EH670:EL670"/>
    <mergeCell ref="EM666:EQ666"/>
    <mergeCell ref="ER666:EV666"/>
    <mergeCell ref="EW666:FA666"/>
    <mergeCell ref="DX667:EB667"/>
    <mergeCell ref="DX662:EB662"/>
    <mergeCell ref="EW669:FA669"/>
    <mergeCell ref="EM667:EQ667"/>
    <mergeCell ref="ER667:EV667"/>
    <mergeCell ref="EW667:FA667"/>
    <mergeCell ref="EM661:EQ661"/>
    <mergeCell ref="DX664:EB664"/>
    <mergeCell ref="EC664:EG664"/>
    <mergeCell ref="EH664:EL664"/>
    <mergeCell ref="EW652:FA652"/>
    <mergeCell ref="EW641:FA641"/>
    <mergeCell ref="DX642:EB642"/>
    <mergeCell ref="EC642:EG642"/>
    <mergeCell ref="EH642:EL642"/>
    <mergeCell ref="EM642:EQ642"/>
    <mergeCell ref="ER642:EV642"/>
    <mergeCell ref="DX641:EB641"/>
    <mergeCell ref="EH656:EL656"/>
    <mergeCell ref="EM656:EQ656"/>
    <mergeCell ref="DX651:EB651"/>
    <mergeCell ref="EC651:EG651"/>
    <mergeCell ref="EM648:EQ648"/>
    <mergeCell ref="ER651:EV651"/>
    <mergeCell ref="ER652:EV652"/>
    <mergeCell ref="EM651:EQ651"/>
    <mergeCell ref="ER649:EV649"/>
    <mergeCell ref="DX652:EB652"/>
    <mergeCell ref="EC652:EG652"/>
    <mergeCell ref="EW645:FA645"/>
    <mergeCell ref="DX646:EB646"/>
    <mergeCell ref="EC646:EG646"/>
    <mergeCell ref="EH646:EL646"/>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DH631:DL631"/>
    <mergeCell ref="EH614:EL614"/>
    <mergeCell ref="EC617:EG617"/>
    <mergeCell ref="EH617:EL617"/>
    <mergeCell ref="CM616:CQ616"/>
    <mergeCell ref="CM617:CQ617"/>
    <mergeCell ref="CM618:CQ618"/>
    <mergeCell ref="CC618:CG618"/>
    <mergeCell ref="CH626:CL626"/>
    <mergeCell ref="CM626:CQ626"/>
    <mergeCell ref="CS628:CW628"/>
    <mergeCell ref="EC645:EG645"/>
    <mergeCell ref="ER645:EV645"/>
    <mergeCell ref="EH643:EL643"/>
    <mergeCell ref="EM643:EQ643"/>
    <mergeCell ref="EH641:EL641"/>
    <mergeCell ref="EM641:EQ641"/>
    <mergeCell ref="EM619:EQ619"/>
    <mergeCell ref="EW647:FA647"/>
    <mergeCell ref="EW655:FA655"/>
    <mergeCell ref="EW650:FA650"/>
    <mergeCell ref="EW648:FA648"/>
    <mergeCell ref="ER619:EV619"/>
    <mergeCell ref="ER612:EV612"/>
    <mergeCell ref="CM641:CQ641"/>
    <mergeCell ref="CC637:CG637"/>
    <mergeCell ref="BX641:CB641"/>
    <mergeCell ref="CC641:CG641"/>
    <mergeCell ref="CC639:CG639"/>
    <mergeCell ref="DC630:DG630"/>
    <mergeCell ref="CS630:CW630"/>
    <mergeCell ref="CX630:DB630"/>
    <mergeCell ref="ER655:EV655"/>
    <mergeCell ref="EH648:EL648"/>
    <mergeCell ref="EH651:EL651"/>
    <mergeCell ref="EH619:EL619"/>
    <mergeCell ref="DR616:DV616"/>
    <mergeCell ref="CX616:DB616"/>
    <mergeCell ref="DC632:DG632"/>
    <mergeCell ref="DH632:DL632"/>
    <mergeCell ref="CM619:CQ619"/>
    <mergeCell ref="CH619:CL619"/>
    <mergeCell ref="CM633:CQ633"/>
    <mergeCell ref="CC632:CG632"/>
    <mergeCell ref="CM630:CQ630"/>
    <mergeCell ref="CM631:CQ631"/>
    <mergeCell ref="DC631:DG631"/>
    <mergeCell ref="DM631:DQ631"/>
    <mergeCell ref="EH652:EL652"/>
    <mergeCell ref="ER650:EV650"/>
    <mergeCell ref="DX615:EB615"/>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S637:BW637"/>
    <mergeCell ref="DM632:DQ632"/>
    <mergeCell ref="CS631:CW631"/>
    <mergeCell ref="CX631:DB631"/>
    <mergeCell ref="AO637:AS637"/>
    <mergeCell ref="AO630:AS630"/>
    <mergeCell ref="AO636:AS636"/>
    <mergeCell ref="AO627:AS627"/>
    <mergeCell ref="EH624:EL624"/>
    <mergeCell ref="AC636:AE636"/>
    <mergeCell ref="AC637:AE637"/>
    <mergeCell ref="DX632:EB632"/>
    <mergeCell ref="EC632:EG632"/>
    <mergeCell ref="AF636:AJ636"/>
    <mergeCell ref="EC615:EG615"/>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R619:DV619"/>
    <mergeCell ref="CX628:DB628"/>
    <mergeCell ref="DC628:DG628"/>
    <mergeCell ref="DH628:DL628"/>
    <mergeCell ref="DM628:DQ628"/>
    <mergeCell ref="CH620:CL620"/>
    <mergeCell ref="CS632:CW632"/>
    <mergeCell ref="CX632:DB632"/>
    <mergeCell ref="CM627:CQ627"/>
    <mergeCell ref="BS625:BW625"/>
    <mergeCell ref="BS627:BW627"/>
    <mergeCell ref="DR646:DV646"/>
    <mergeCell ref="CS618:CW618"/>
    <mergeCell ref="CX618:DB618"/>
    <mergeCell ref="DC618:DG618"/>
    <mergeCell ref="DH645:DL645"/>
    <mergeCell ref="BX646:CB646"/>
    <mergeCell ref="BS641:BW641"/>
    <mergeCell ref="BS632:BW632"/>
    <mergeCell ref="CC615:CG615"/>
    <mergeCell ref="CH622:CL622"/>
    <mergeCell ref="BX639:CB639"/>
    <mergeCell ref="BX640:CB640"/>
    <mergeCell ref="CM629:CQ629"/>
    <mergeCell ref="DM617:DQ617"/>
    <mergeCell ref="CC630:CG630"/>
    <mergeCell ref="BX632:CB632"/>
    <mergeCell ref="CM645:CQ645"/>
    <mergeCell ref="CC617:CG617"/>
    <mergeCell ref="CC619:CG619"/>
    <mergeCell ref="CH639:CL639"/>
    <mergeCell ref="CH647:CL647"/>
    <mergeCell ref="CH631:CL631"/>
    <mergeCell ref="CC631:CG631"/>
    <mergeCell ref="BX623:CB623"/>
    <mergeCell ref="CM622:CQ622"/>
    <mergeCell ref="CM623:CQ623"/>
    <mergeCell ref="CH640:CL640"/>
    <mergeCell ref="CM640:CQ640"/>
    <mergeCell ref="CM639:CQ639"/>
    <mergeCell ref="CH632:CL632"/>
    <mergeCell ref="CS645:CW645"/>
    <mergeCell ref="CH624:CL624"/>
    <mergeCell ref="CM624:CQ624"/>
    <mergeCell ref="CC628:CG628"/>
    <mergeCell ref="CH628:CL628"/>
    <mergeCell ref="CM628:CQ628"/>
    <mergeCell ref="CC627:CG627"/>
    <mergeCell ref="CM632:CQ632"/>
    <mergeCell ref="DM619:DQ619"/>
    <mergeCell ref="CS617:CW617"/>
    <mergeCell ref="DR617:DV617"/>
    <mergeCell ref="DM645:DQ645"/>
    <mergeCell ref="DR645:DV645"/>
    <mergeCell ref="CC645:CG645"/>
    <mergeCell ref="DC649:DG649"/>
    <mergeCell ref="BX647:CB647"/>
    <mergeCell ref="CX648:DB648"/>
    <mergeCell ref="DC648:DG648"/>
    <mergeCell ref="CH623:CL623"/>
    <mergeCell ref="DC626:DG626"/>
    <mergeCell ref="DH626:DL626"/>
    <mergeCell ref="CS626:CW626"/>
    <mergeCell ref="CX626:DB626"/>
    <mergeCell ref="CM621:CQ621"/>
    <mergeCell ref="BX645:CB645"/>
    <mergeCell ref="DH647:DL647"/>
    <mergeCell ref="DM647:DQ647"/>
    <mergeCell ref="CX645:DB645"/>
    <mergeCell ref="BX624:CB624"/>
    <mergeCell ref="CC624:CG624"/>
    <mergeCell ref="DC645:DG645"/>
    <mergeCell ref="CS646:CW646"/>
    <mergeCell ref="CX646:DB646"/>
    <mergeCell ref="CH646:CL646"/>
    <mergeCell ref="CM646:CQ646"/>
    <mergeCell ref="DH646:DL646"/>
    <mergeCell ref="DM646:DQ646"/>
    <mergeCell ref="DR647:DV647"/>
    <mergeCell ref="BX630:CB630"/>
    <mergeCell ref="CX627:DB627"/>
    <mergeCell ref="DC627:DG627"/>
    <mergeCell ref="CS647:CW647"/>
    <mergeCell ref="CC640:CG640"/>
    <mergeCell ref="CH625:CL625"/>
    <mergeCell ref="CM625:CQ625"/>
    <mergeCell ref="BX625:CB625"/>
    <mergeCell ref="CC623:CG623"/>
    <mergeCell ref="CC629:CG629"/>
    <mergeCell ref="CH629:CL629"/>
    <mergeCell ref="CM638:CQ638"/>
    <mergeCell ref="CM620:CQ620"/>
    <mergeCell ref="CS620:CW620"/>
    <mergeCell ref="CS622:CW622"/>
    <mergeCell ref="CX622:DB622"/>
    <mergeCell ref="DC622:DG622"/>
    <mergeCell ref="DH622:DL622"/>
    <mergeCell ref="DM622:DQ622"/>
    <mergeCell ref="CS629:CW629"/>
    <mergeCell ref="CX629:DB629"/>
    <mergeCell ref="CM637:CQ637"/>
    <mergeCell ref="CH630:CL630"/>
    <mergeCell ref="CC620:CG620"/>
    <mergeCell ref="CH627:CL627"/>
    <mergeCell ref="BX628:CB628"/>
    <mergeCell ref="BX627:CB627"/>
    <mergeCell ref="BX626:CB626"/>
    <mergeCell ref="DC621:DG621"/>
    <mergeCell ref="DH621:DL621"/>
    <mergeCell ref="CC638:CG638"/>
    <mergeCell ref="BX629:CB629"/>
    <mergeCell ref="DM623:DQ623"/>
    <mergeCell ref="CX647:DB647"/>
    <mergeCell ref="DC647:DG647"/>
    <mergeCell ref="CX655:DB655"/>
    <mergeCell ref="DC655:DG655"/>
    <mergeCell ref="DR655:DV655"/>
    <mergeCell ref="CC655:CG655"/>
    <mergeCell ref="CH655:CL655"/>
    <mergeCell ref="CM655:CQ655"/>
    <mergeCell ref="CS650:CW650"/>
    <mergeCell ref="CX650:DB650"/>
    <mergeCell ref="DC651:DG651"/>
    <mergeCell ref="CM651:CQ651"/>
    <mergeCell ref="DM650:DQ650"/>
    <mergeCell ref="CX649:DB649"/>
    <mergeCell ref="DR648:DV648"/>
    <mergeCell ref="CS649:CW649"/>
    <mergeCell ref="CC649:CG649"/>
    <mergeCell ref="CH649:CL649"/>
    <mergeCell ref="CC647:CG647"/>
    <mergeCell ref="CS648:CW648"/>
    <mergeCell ref="CM647:CQ647"/>
    <mergeCell ref="CM648:CQ648"/>
    <mergeCell ref="CC651:CG651"/>
    <mergeCell ref="CH648:CL648"/>
    <mergeCell ref="CC648:CG648"/>
    <mergeCell ref="CX652:DB652"/>
    <mergeCell ref="DC652:DG652"/>
    <mergeCell ref="DC650:DG650"/>
    <mergeCell ref="DR654:DV654"/>
    <mergeCell ref="DR653:DV653"/>
    <mergeCell ref="DH655:DL655"/>
    <mergeCell ref="DM655:DQ655"/>
    <mergeCell ref="CH650:CL650"/>
    <mergeCell ref="CS655:CW655"/>
    <mergeCell ref="DH652:DL652"/>
    <mergeCell ref="BS650:BW650"/>
    <mergeCell ref="BX653:CB653"/>
    <mergeCell ref="CS654:CW654"/>
    <mergeCell ref="CX654:DB654"/>
    <mergeCell ref="DC654:DG654"/>
    <mergeCell ref="BS653:BW653"/>
    <mergeCell ref="DC653:DG653"/>
    <mergeCell ref="CS653:CW653"/>
    <mergeCell ref="CX653:DB653"/>
    <mergeCell ref="BS651:BW651"/>
    <mergeCell ref="BX651:CB651"/>
    <mergeCell ref="BX650:CB650"/>
    <mergeCell ref="CS652:CW652"/>
    <mergeCell ref="BX652:CB652"/>
    <mergeCell ref="BN649:BR649"/>
    <mergeCell ref="BN648:BR648"/>
    <mergeCell ref="BX648:CB648"/>
    <mergeCell ref="CM650:CQ650"/>
    <mergeCell ref="DR650:DV650"/>
    <mergeCell ref="CX651:DB651"/>
    <mergeCell ref="DH648:DL648"/>
    <mergeCell ref="DM648:DQ648"/>
    <mergeCell ref="BX654:CB654"/>
    <mergeCell ref="DM651:DQ651"/>
    <mergeCell ref="DM652:DQ652"/>
    <mergeCell ref="BN651:BR651"/>
    <mergeCell ref="BN650:BR650"/>
    <mergeCell ref="DR649:DV649"/>
    <mergeCell ref="DR652:DV652"/>
    <mergeCell ref="BX649:CB649"/>
    <mergeCell ref="CM649:CQ649"/>
    <mergeCell ref="DH649:DL649"/>
    <mergeCell ref="DM649:DQ649"/>
    <mergeCell ref="CS651:CW651"/>
    <mergeCell ref="DH650:DL650"/>
    <mergeCell ref="BS652:BW652"/>
    <mergeCell ref="CH651:CL651"/>
    <mergeCell ref="DM653:DQ653"/>
    <mergeCell ref="DH654:DL654"/>
    <mergeCell ref="DM654:DQ654"/>
    <mergeCell ref="DR651:DV651"/>
    <mergeCell ref="BS649:BW649"/>
    <mergeCell ref="DH653:DL653"/>
    <mergeCell ref="CC650:CG650"/>
    <mergeCell ref="CC652:CG652"/>
    <mergeCell ref="CC653:CG653"/>
    <mergeCell ref="AH734:AJ734"/>
    <mergeCell ref="DX656:EB656"/>
    <mergeCell ref="EC656:EG656"/>
    <mergeCell ref="AH729:AJ729"/>
    <mergeCell ref="Z651:AK651"/>
    <mergeCell ref="CH652:CL652"/>
    <mergeCell ref="CH653:CL653"/>
    <mergeCell ref="CH654:CL654"/>
    <mergeCell ref="CM652:CQ652"/>
    <mergeCell ref="CM653:CQ653"/>
    <mergeCell ref="CM654:CQ654"/>
    <mergeCell ref="BN652:BR652"/>
    <mergeCell ref="BN653:BR653"/>
    <mergeCell ref="BN654:BR654"/>
    <mergeCell ref="AC723:AG723"/>
    <mergeCell ref="AE698:AI698"/>
    <mergeCell ref="AH721:AJ721"/>
    <mergeCell ref="AC714:AG717"/>
    <mergeCell ref="AC720:AG720"/>
    <mergeCell ref="X719:AB719"/>
    <mergeCell ref="AG673:AH673"/>
    <mergeCell ref="AC721:AG721"/>
    <mergeCell ref="DR657:DV657"/>
    <mergeCell ref="AH727:AJ727"/>
    <mergeCell ref="AC724:AG724"/>
    <mergeCell ref="DH651:DL651"/>
    <mergeCell ref="CH660:CL660"/>
    <mergeCell ref="BS655:BW655"/>
    <mergeCell ref="BX655:CB655"/>
    <mergeCell ref="CC654:CG654"/>
    <mergeCell ref="AI655:AK655"/>
    <mergeCell ref="AH726:AJ726"/>
    <mergeCell ref="B727:F727"/>
    <mergeCell ref="K724:N724"/>
    <mergeCell ref="CM660:CQ660"/>
    <mergeCell ref="AK728:AO728"/>
    <mergeCell ref="AK729:AO729"/>
    <mergeCell ref="AH735:AJ735"/>
    <mergeCell ref="AE694:AF694"/>
    <mergeCell ref="AK727:AO727"/>
    <mergeCell ref="X734:AB734"/>
    <mergeCell ref="X733:AB733"/>
    <mergeCell ref="AK720:AO720"/>
    <mergeCell ref="AK721:AO721"/>
    <mergeCell ref="G732:J732"/>
    <mergeCell ref="K728:N728"/>
    <mergeCell ref="G735:J735"/>
    <mergeCell ref="ER669:EV669"/>
    <mergeCell ref="ER668:EV668"/>
    <mergeCell ref="AH730:AJ730"/>
    <mergeCell ref="EM670:EQ670"/>
    <mergeCell ref="AK730:AO730"/>
    <mergeCell ref="AC730:AG730"/>
    <mergeCell ref="O733:S733"/>
    <mergeCell ref="G662:R662"/>
    <mergeCell ref="J705:O705"/>
    <mergeCell ref="K720:N720"/>
    <mergeCell ref="AA672:AK672"/>
    <mergeCell ref="Z684:AK684"/>
    <mergeCell ref="G684:R684"/>
    <mergeCell ref="AK718:AO718"/>
    <mergeCell ref="AK719:AO719"/>
    <mergeCell ref="O722:S722"/>
    <mergeCell ref="G671:L671"/>
    <mergeCell ref="W624:Y626"/>
    <mergeCell ref="T634:V634"/>
    <mergeCell ref="AK726:AO726"/>
    <mergeCell ref="AK722:AO722"/>
    <mergeCell ref="AA680:AK680"/>
    <mergeCell ref="AH732:AJ732"/>
    <mergeCell ref="Z636:AB636"/>
    <mergeCell ref="Z637:AB637"/>
    <mergeCell ref="Z638:AB638"/>
    <mergeCell ref="Z624:AB626"/>
    <mergeCell ref="AC634:AE634"/>
    <mergeCell ref="Z612:AK612"/>
    <mergeCell ref="M630:P630"/>
    <mergeCell ref="M631:P631"/>
    <mergeCell ref="M632:P632"/>
    <mergeCell ref="K726:N726"/>
    <mergeCell ref="N665:O665"/>
    <mergeCell ref="H672:R672"/>
    <mergeCell ref="G676:R676"/>
    <mergeCell ref="X732:AB732"/>
    <mergeCell ref="AK724:AO724"/>
    <mergeCell ref="AK725:AO725"/>
    <mergeCell ref="G669:R669"/>
    <mergeCell ref="J704:X704"/>
    <mergeCell ref="C631:L631"/>
    <mergeCell ref="C632:L632"/>
    <mergeCell ref="Z628:AB628"/>
    <mergeCell ref="Z629:AB629"/>
    <mergeCell ref="M633:P633"/>
    <mergeCell ref="C627:L627"/>
    <mergeCell ref="H614:R614"/>
    <mergeCell ref="AC627:AE627"/>
    <mergeCell ref="Q627:S627"/>
    <mergeCell ref="Q628:S628"/>
    <mergeCell ref="Q629:S629"/>
    <mergeCell ref="Q630:S630"/>
    <mergeCell ref="Q631:S631"/>
    <mergeCell ref="Q632:S632"/>
    <mergeCell ref="Q633:S633"/>
    <mergeCell ref="Q634:S634"/>
    <mergeCell ref="AK633:AN633"/>
    <mergeCell ref="P613:R613"/>
    <mergeCell ref="G577:R577"/>
    <mergeCell ref="J385:U385"/>
    <mergeCell ref="V381:W381"/>
    <mergeCell ref="T555:V555"/>
    <mergeCell ref="W559:Y559"/>
    <mergeCell ref="AK624:AN626"/>
    <mergeCell ref="AM563:AS563"/>
    <mergeCell ref="W560:Y560"/>
    <mergeCell ref="Z577:AK577"/>
    <mergeCell ref="W627:Y627"/>
    <mergeCell ref="T627:V627"/>
    <mergeCell ref="AA573:AK573"/>
    <mergeCell ref="Z594:AK594"/>
    <mergeCell ref="G601:R601"/>
    <mergeCell ref="G594:R594"/>
    <mergeCell ref="N615:O615"/>
    <mergeCell ref="AC633:AE633"/>
    <mergeCell ref="C634:L634"/>
    <mergeCell ref="M624:P626"/>
    <mergeCell ref="M627:P627"/>
    <mergeCell ref="M628:P628"/>
    <mergeCell ref="M629:P629"/>
    <mergeCell ref="AE696:AI696"/>
    <mergeCell ref="O726:S726"/>
    <mergeCell ref="K727:N727"/>
    <mergeCell ref="O731:S731"/>
    <mergeCell ref="O732:S732"/>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A69:AT70"/>
    <mergeCell ref="A72:AT73"/>
    <mergeCell ref="A544:AT545"/>
    <mergeCell ref="A480:AT481"/>
    <mergeCell ref="A351:AT352"/>
    <mergeCell ref="A282:AT283"/>
    <mergeCell ref="A222:AT223"/>
    <mergeCell ref="A169:AT170"/>
    <mergeCell ref="U823:X824"/>
    <mergeCell ref="Z806:AE806"/>
    <mergeCell ref="B751:F751"/>
    <mergeCell ref="AC742:AG742"/>
    <mergeCell ref="AC743:AG743"/>
    <mergeCell ref="B1059:AP1059"/>
    <mergeCell ref="G580:R580"/>
    <mergeCell ref="W631:Y631"/>
    <mergeCell ref="AG615:AH615"/>
    <mergeCell ref="G612:R612"/>
    <mergeCell ref="G611:R611"/>
    <mergeCell ref="Z609:AK609"/>
    <mergeCell ref="G609:R609"/>
    <mergeCell ref="AC632:AE632"/>
    <mergeCell ref="Z604:AK604"/>
    <mergeCell ref="M634:P634"/>
    <mergeCell ref="G610:R610"/>
    <mergeCell ref="AF629:AJ629"/>
    <mergeCell ref="K746:N746"/>
    <mergeCell ref="O746:S746"/>
    <mergeCell ref="T746:W746"/>
    <mergeCell ref="K747:N747"/>
    <mergeCell ref="AK731:AO731"/>
    <mergeCell ref="AK738:AO738"/>
    <mergeCell ref="G677:R677"/>
    <mergeCell ref="Z678:AK678"/>
    <mergeCell ref="G685:R685"/>
    <mergeCell ref="G723:J723"/>
    <mergeCell ref="O725:S725"/>
    <mergeCell ref="AK740:AO740"/>
    <mergeCell ref="AH737:AJ737"/>
    <mergeCell ref="AH738:AJ738"/>
    <mergeCell ref="AK751:AO751"/>
    <mergeCell ref="O776:S776"/>
    <mergeCell ref="O769:S772"/>
    <mergeCell ref="T737:W737"/>
    <mergeCell ref="AH752:AJ752"/>
    <mergeCell ref="B754:AH755"/>
    <mergeCell ref="AK752:AO752"/>
    <mergeCell ref="J773:N773"/>
    <mergeCell ref="G753:J753"/>
    <mergeCell ref="K749:N749"/>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X750:AB750"/>
    <mergeCell ref="AC749:AG749"/>
    <mergeCell ref="B734:F734"/>
    <mergeCell ref="AH741:AJ741"/>
    <mergeCell ref="G740:J740"/>
    <mergeCell ref="T733:W733"/>
    <mergeCell ref="O734:S734"/>
    <mergeCell ref="K739:N739"/>
    <mergeCell ref="AC734:AG734"/>
    <mergeCell ref="AC735:AG735"/>
    <mergeCell ref="B746:F746"/>
    <mergeCell ref="B747:F747"/>
    <mergeCell ref="O744:S744"/>
    <mergeCell ref="B753:F753"/>
    <mergeCell ref="O773:S773"/>
    <mergeCell ref="T752:W752"/>
    <mergeCell ref="J776:N776"/>
    <mergeCell ref="G736:J736"/>
    <mergeCell ref="O787:S787"/>
    <mergeCell ref="T773:W773"/>
    <mergeCell ref="C763:AR765"/>
    <mergeCell ref="X752:AB752"/>
    <mergeCell ref="AH745:AJ745"/>
    <mergeCell ref="AH746:AJ746"/>
    <mergeCell ref="AH747:AJ747"/>
    <mergeCell ref="AH748:AJ748"/>
    <mergeCell ref="B737:F737"/>
    <mergeCell ref="AK736:AO736"/>
    <mergeCell ref="AH749:AJ749"/>
    <mergeCell ref="AD759:AF759"/>
    <mergeCell ref="T774:W774"/>
    <mergeCell ref="G737:J737"/>
    <mergeCell ref="AK749:AO749"/>
    <mergeCell ref="AK750:AO750"/>
    <mergeCell ref="B748:F748"/>
    <mergeCell ref="B749:F749"/>
    <mergeCell ref="B750:F750"/>
    <mergeCell ref="X748:AB748"/>
    <mergeCell ref="X749:AB749"/>
    <mergeCell ref="X735:AB735"/>
    <mergeCell ref="X736:AB736"/>
    <mergeCell ref="T735:W735"/>
    <mergeCell ref="T750:W750"/>
    <mergeCell ref="X737:AB737"/>
    <mergeCell ref="T736:W736"/>
    <mergeCell ref="B735:F735"/>
    <mergeCell ref="B738:F738"/>
    <mergeCell ref="AC737:AG737"/>
    <mergeCell ref="O741:S741"/>
    <mergeCell ref="K737:N737"/>
    <mergeCell ref="AH739:AJ739"/>
    <mergeCell ref="AH740:AJ740"/>
    <mergeCell ref="T748:W748"/>
    <mergeCell ref="X747:AB747"/>
    <mergeCell ref="K740:N740"/>
    <mergeCell ref="AC739:AG739"/>
    <mergeCell ref="AH736:AJ736"/>
    <mergeCell ref="B736:F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B70" zoomScaleNormal="100" workbookViewId="0">
      <selection activeCell="P109" sqref="P109"/>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77734375" style="158" hidden="1"/>
    <col min="16384" max="16384" width="0.109375" style="158" customWidth="1"/>
  </cols>
  <sheetData>
    <row r="1" spans="1:21" s="110" customFormat="1" ht="13.8">
      <c r="A1" s="168" t="s">
        <v>557</v>
      </c>
      <c r="B1" s="125"/>
      <c r="C1" s="125"/>
      <c r="D1" s="125"/>
      <c r="E1" s="126"/>
      <c r="F1" s="1899" t="s">
        <v>629</v>
      </c>
      <c r="G1" s="1900"/>
      <c r="H1" s="1900"/>
      <c r="I1" s="1900"/>
      <c r="J1" s="1900"/>
      <c r="K1" s="1900"/>
      <c r="L1" s="1900"/>
      <c r="M1" s="1900"/>
      <c r="N1" s="1900"/>
      <c r="O1" s="1900"/>
      <c r="P1" s="1900"/>
      <c r="Q1" s="1900"/>
      <c r="R1" s="1901"/>
      <c r="S1" s="112"/>
      <c r="T1" s="111"/>
      <c r="U1" s="113"/>
    </row>
    <row r="2" spans="1:21" s="138" customFormat="1" ht="71.25" customHeight="1">
      <c r="A2" s="137"/>
      <c r="B2" s="138" t="s">
        <v>23</v>
      </c>
      <c r="C2" s="138" t="s">
        <v>375</v>
      </c>
      <c r="D2" s="138" t="s">
        <v>374</v>
      </c>
      <c r="E2" s="138" t="s">
        <v>24</v>
      </c>
      <c r="F2" s="139" t="str">
        <f>Application!B627&amp;Application!C627</f>
        <v xml:space="preserve">1)Citibank Permanent Loan </v>
      </c>
      <c r="G2" s="139" t="str">
        <f>Application!B628&amp;Application!C628</f>
        <v>2)Deferred Developer Fee</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8500000</v>
      </c>
      <c r="C4" s="147">
        <v>8500000</v>
      </c>
      <c r="D4" s="147"/>
      <c r="E4" s="147">
        <v>8500000</v>
      </c>
      <c r="F4" s="147"/>
      <c r="G4" s="147"/>
      <c r="H4" s="147"/>
      <c r="I4" s="147"/>
      <c r="J4" s="147"/>
      <c r="K4" s="147"/>
      <c r="L4" s="147"/>
      <c r="M4" s="147"/>
      <c r="N4" s="147"/>
      <c r="O4" s="147"/>
      <c r="P4" s="147"/>
      <c r="Q4" s="147"/>
      <c r="R4" s="550">
        <f>SUM(E4:Q4)</f>
        <v>8500000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601</v>
      </c>
      <c r="B8" s="146">
        <f>SUM(C8:D8)</f>
        <v>8500000</v>
      </c>
      <c r="C8" s="146">
        <f t="shared" ref="C8:Q8" si="0">SUM(C4:C7)</f>
        <v>8500000</v>
      </c>
      <c r="D8" s="146">
        <f t="shared" si="0"/>
        <v>0</v>
      </c>
      <c r="E8" s="146">
        <f t="shared" si="0"/>
        <v>8500000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8500000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400000</v>
      </c>
      <c r="C10" s="147">
        <v>400000</v>
      </c>
      <c r="D10" s="147"/>
      <c r="E10" s="147">
        <v>400000</v>
      </c>
      <c r="F10" s="147"/>
      <c r="G10" s="147"/>
      <c r="H10" s="147"/>
      <c r="I10" s="147"/>
      <c r="J10" s="147"/>
      <c r="K10" s="147"/>
      <c r="L10" s="147"/>
      <c r="M10" s="147"/>
      <c r="N10" s="147"/>
      <c r="O10" s="147"/>
      <c r="P10" s="147"/>
      <c r="Q10" s="147"/>
      <c r="R10" s="550">
        <f>SUM(E10:Q10)</f>
        <v>400000</v>
      </c>
      <c r="S10" s="147">
        <f>R10</f>
        <v>400000</v>
      </c>
      <c r="T10" s="1014"/>
      <c r="U10" s="143"/>
    </row>
    <row r="11" spans="1:21" s="144" customFormat="1" ht="12">
      <c r="A11" s="149" t="s">
        <v>604</v>
      </c>
      <c r="B11" s="146">
        <f>SUM(C11:D11)</f>
        <v>400000</v>
      </c>
      <c r="C11" s="146">
        <f t="shared" ref="C11:Q11" si="1">SUM(C9:C10)</f>
        <v>400000</v>
      </c>
      <c r="D11" s="146">
        <f t="shared" si="1"/>
        <v>0</v>
      </c>
      <c r="E11" s="146">
        <f t="shared" si="1"/>
        <v>400000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400000</v>
      </c>
      <c r="S11" s="148"/>
      <c r="T11" s="150">
        <f>SUM(T9:T10)</f>
        <v>0</v>
      </c>
      <c r="U11" s="143"/>
    </row>
    <row r="12" spans="1:21" s="144" customFormat="1" ht="12">
      <c r="A12" s="149" t="s">
        <v>84</v>
      </c>
      <c r="B12" s="146">
        <f t="shared" ref="B12:Q12" si="2">SUM(B8+B11)</f>
        <v>8900000</v>
      </c>
      <c r="C12" s="146">
        <f t="shared" si="2"/>
        <v>8900000</v>
      </c>
      <c r="D12" s="146">
        <f t="shared" si="2"/>
        <v>0</v>
      </c>
      <c r="E12" s="146">
        <f t="shared" si="2"/>
        <v>8900000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8900000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1000000</v>
      </c>
      <c r="C29" s="147">
        <v>1000000</v>
      </c>
      <c r="D29" s="147"/>
      <c r="E29" s="147">
        <f>+C29-F29</f>
        <v>633558</v>
      </c>
      <c r="F29" s="147">
        <f>34834654-F30</f>
        <v>366442</v>
      </c>
      <c r="G29" s="147"/>
      <c r="H29" s="147"/>
      <c r="I29" s="147"/>
      <c r="J29" s="147"/>
      <c r="K29" s="147"/>
      <c r="L29" s="147"/>
      <c r="M29" s="147"/>
      <c r="N29" s="147"/>
      <c r="O29" s="147"/>
      <c r="P29" s="147"/>
      <c r="Q29" s="147"/>
      <c r="R29" s="550">
        <f t="shared" ref="R29:R37" si="7">SUM(E29:Q29)</f>
        <v>1000000</v>
      </c>
      <c r="S29" s="147">
        <f>R29</f>
        <v>1000000</v>
      </c>
      <c r="T29" s="147"/>
      <c r="U29" s="143"/>
    </row>
    <row r="30" spans="1:21" s="144" customFormat="1">
      <c r="A30" s="145" t="s">
        <v>607</v>
      </c>
      <c r="B30" s="146">
        <f t="shared" si="6"/>
        <v>34468212</v>
      </c>
      <c r="C30" s="147">
        <v>34468212</v>
      </c>
      <c r="D30" s="147"/>
      <c r="E30" s="147"/>
      <c r="F30" s="147">
        <f>+C30</f>
        <v>34468212</v>
      </c>
      <c r="G30" s="147"/>
      <c r="H30" s="147"/>
      <c r="I30" s="147"/>
      <c r="J30" s="147"/>
      <c r="K30" s="147"/>
      <c r="L30" s="147"/>
      <c r="M30" s="147"/>
      <c r="N30" s="147"/>
      <c r="O30" s="147"/>
      <c r="P30" s="147"/>
      <c r="Q30" s="147"/>
      <c r="R30" s="550">
        <f t="shared" si="7"/>
        <v>34468212</v>
      </c>
      <c r="S30" s="147">
        <f t="shared" ref="S30:S36" si="8">R30</f>
        <v>34468212</v>
      </c>
      <c r="T30" s="147"/>
      <c r="U30" s="143"/>
    </row>
    <row r="31" spans="1:21" s="144" customFormat="1">
      <c r="A31" s="145" t="s">
        <v>608</v>
      </c>
      <c r="B31" s="146">
        <f t="shared" si="6"/>
        <v>2582511</v>
      </c>
      <c r="C31" s="147">
        <v>2582511</v>
      </c>
      <c r="D31" s="147"/>
      <c r="E31" s="147">
        <f>C31</f>
        <v>2582511</v>
      </c>
      <c r="F31" s="147"/>
      <c r="G31" s="147"/>
      <c r="H31" s="147"/>
      <c r="I31" s="147"/>
      <c r="J31" s="147"/>
      <c r="K31" s="147"/>
      <c r="L31" s="147"/>
      <c r="M31" s="147"/>
      <c r="N31" s="147"/>
      <c r="O31" s="147"/>
      <c r="P31" s="147"/>
      <c r="Q31" s="147"/>
      <c r="R31" s="550">
        <f t="shared" si="7"/>
        <v>2582511</v>
      </c>
      <c r="S31" s="147">
        <f t="shared" si="8"/>
        <v>2582511</v>
      </c>
      <c r="T31" s="147"/>
      <c r="U31" s="143"/>
    </row>
    <row r="32" spans="1:21" s="144" customFormat="1">
      <c r="A32" s="145" t="s">
        <v>137</v>
      </c>
      <c r="B32" s="146">
        <f t="shared" si="6"/>
        <v>860837.1</v>
      </c>
      <c r="C32" s="147">
        <v>860837.1</v>
      </c>
      <c r="D32" s="147"/>
      <c r="E32" s="147">
        <f>C32</f>
        <v>860837.1</v>
      </c>
      <c r="F32" s="147"/>
      <c r="G32" s="147"/>
      <c r="H32" s="147"/>
      <c r="I32" s="147"/>
      <c r="J32" s="147"/>
      <c r="K32" s="147"/>
      <c r="L32" s="147"/>
      <c r="M32" s="147"/>
      <c r="N32" s="147"/>
      <c r="O32" s="147"/>
      <c r="P32" s="147"/>
      <c r="Q32" s="147"/>
      <c r="R32" s="550">
        <f t="shared" si="7"/>
        <v>860837.1</v>
      </c>
      <c r="S32" s="147">
        <f t="shared" si="8"/>
        <v>860837.1</v>
      </c>
      <c r="T32" s="147"/>
      <c r="U32" s="143"/>
    </row>
    <row r="33" spans="1:21" s="144" customFormat="1">
      <c r="A33" s="145" t="s">
        <v>138</v>
      </c>
      <c r="B33" s="146">
        <f t="shared" si="6"/>
        <v>2582511</v>
      </c>
      <c r="C33" s="147">
        <f>C31</f>
        <v>2582511</v>
      </c>
      <c r="D33" s="147"/>
      <c r="E33" s="147">
        <f t="shared" ref="E33:E36" si="9">C33</f>
        <v>2582511</v>
      </c>
      <c r="F33" s="147"/>
      <c r="G33" s="147"/>
      <c r="H33" s="147"/>
      <c r="I33" s="147"/>
      <c r="J33" s="147"/>
      <c r="K33" s="147"/>
      <c r="L33" s="147"/>
      <c r="M33" s="147"/>
      <c r="N33" s="147"/>
      <c r="O33" s="147"/>
      <c r="P33" s="147"/>
      <c r="Q33" s="147"/>
      <c r="R33" s="550">
        <f t="shared" si="7"/>
        <v>2582511</v>
      </c>
      <c r="S33" s="147">
        <f t="shared" si="8"/>
        <v>2582511</v>
      </c>
      <c r="T33" s="147"/>
      <c r="U33" s="143"/>
    </row>
    <row r="34" spans="1:21" s="144" customFormat="1">
      <c r="A34" s="145" t="s">
        <v>139</v>
      </c>
      <c r="B34" s="146">
        <f t="shared" si="6"/>
        <v>7173642</v>
      </c>
      <c r="C34" s="147">
        <v>7173642</v>
      </c>
      <c r="D34" s="147"/>
      <c r="E34" s="147">
        <f t="shared" si="9"/>
        <v>7173642</v>
      </c>
      <c r="F34" s="147"/>
      <c r="G34" s="147"/>
      <c r="H34" s="147"/>
      <c r="I34" s="147"/>
      <c r="J34" s="147"/>
      <c r="K34" s="147"/>
      <c r="L34" s="147"/>
      <c r="M34" s="147"/>
      <c r="N34" s="147"/>
      <c r="O34" s="147"/>
      <c r="P34" s="147"/>
      <c r="Q34" s="147"/>
      <c r="R34" s="550">
        <f t="shared" si="7"/>
        <v>7173642</v>
      </c>
      <c r="S34" s="147">
        <f t="shared" si="8"/>
        <v>7173642</v>
      </c>
      <c r="T34" s="147"/>
      <c r="U34" s="143"/>
    </row>
    <row r="35" spans="1:21" s="144" customFormat="1">
      <c r="A35" s="145" t="s">
        <v>140</v>
      </c>
      <c r="B35" s="146">
        <f t="shared" si="6"/>
        <v>490677.1</v>
      </c>
      <c r="C35" s="147">
        <v>490677.1</v>
      </c>
      <c r="D35" s="147"/>
      <c r="E35" s="147">
        <f t="shared" si="9"/>
        <v>490677.1</v>
      </c>
      <c r="F35" s="147"/>
      <c r="G35" s="147"/>
      <c r="H35" s="147"/>
      <c r="I35" s="147"/>
      <c r="J35" s="147"/>
      <c r="K35" s="147"/>
      <c r="L35" s="147"/>
      <c r="M35" s="147"/>
      <c r="N35" s="147"/>
      <c r="O35" s="147"/>
      <c r="P35" s="147"/>
      <c r="Q35" s="147"/>
      <c r="R35" s="550">
        <f t="shared" si="7"/>
        <v>490677.1</v>
      </c>
      <c r="S35" s="147">
        <f t="shared" si="8"/>
        <v>490677.1</v>
      </c>
      <c r="T35" s="147"/>
      <c r="U35" s="143"/>
    </row>
    <row r="36" spans="1:21" s="144" customFormat="1">
      <c r="A36" s="304" t="s">
        <v>1750</v>
      </c>
      <c r="B36" s="146">
        <f t="shared" si="6"/>
        <v>0</v>
      </c>
      <c r="C36" s="147"/>
      <c r="D36" s="147"/>
      <c r="E36" s="147">
        <f t="shared" si="9"/>
        <v>0</v>
      </c>
      <c r="F36" s="147"/>
      <c r="G36" s="147"/>
      <c r="H36" s="147"/>
      <c r="I36" s="147"/>
      <c r="J36" s="147"/>
      <c r="K36" s="147"/>
      <c r="L36" s="147"/>
      <c r="M36" s="147"/>
      <c r="N36" s="147"/>
      <c r="O36" s="147"/>
      <c r="P36" s="147"/>
      <c r="Q36" s="147"/>
      <c r="R36" s="550">
        <f t="shared" si="7"/>
        <v>0</v>
      </c>
      <c r="S36" s="147">
        <f t="shared" si="8"/>
        <v>0</v>
      </c>
      <c r="T36" s="147"/>
      <c r="U36" s="143"/>
    </row>
    <row r="37" spans="1:21" s="144" customFormat="1">
      <c r="A37" s="1193" t="s">
        <v>2762</v>
      </c>
      <c r="B37" s="146">
        <f t="shared" si="6"/>
        <v>0</v>
      </c>
      <c r="C37" s="147"/>
      <c r="D37" s="147"/>
      <c r="E37" s="147"/>
      <c r="F37" s="147"/>
      <c r="G37" s="147"/>
      <c r="H37" s="147"/>
      <c r="I37" s="147"/>
      <c r="J37" s="147"/>
      <c r="K37" s="147"/>
      <c r="L37" s="147"/>
      <c r="M37" s="147"/>
      <c r="N37" s="147"/>
      <c r="O37" s="147"/>
      <c r="P37" s="147"/>
      <c r="Q37" s="147"/>
      <c r="R37" s="550">
        <f t="shared" si="7"/>
        <v>0</v>
      </c>
      <c r="S37" s="147">
        <f>R37</f>
        <v>0</v>
      </c>
      <c r="T37" s="147"/>
      <c r="U37" s="143"/>
    </row>
    <row r="38" spans="1:21" s="144" customFormat="1" ht="12">
      <c r="A38" s="149" t="s">
        <v>143</v>
      </c>
      <c r="B38" s="146">
        <f t="shared" si="6"/>
        <v>49158390.200000003</v>
      </c>
      <c r="C38" s="146">
        <f>SUM(C29:C37)</f>
        <v>49158390.200000003</v>
      </c>
      <c r="D38" s="146">
        <f t="shared" ref="D38:Q38" si="10">SUM(D29:D37)</f>
        <v>0</v>
      </c>
      <c r="E38" s="146">
        <f t="shared" si="10"/>
        <v>14323736.199999999</v>
      </c>
      <c r="F38" s="146">
        <f t="shared" si="10"/>
        <v>34834654</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49158390.200000003</v>
      </c>
      <c r="S38" s="150">
        <f>SUM(S29:S37)</f>
        <v>49158390.200000003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1350000</v>
      </c>
      <c r="C40" s="147">
        <v>1350000</v>
      </c>
      <c r="D40" s="147"/>
      <c r="E40" s="147">
        <f>C40</f>
        <v>1350000</v>
      </c>
      <c r="F40" s="147"/>
      <c r="G40" s="147"/>
      <c r="H40" s="147"/>
      <c r="I40" s="147"/>
      <c r="J40" s="147"/>
      <c r="K40" s="147"/>
      <c r="L40" s="147"/>
      <c r="M40" s="147"/>
      <c r="N40" s="147"/>
      <c r="O40" s="147"/>
      <c r="P40" s="147"/>
      <c r="Q40" s="147"/>
      <c r="R40" s="550">
        <f>SUM(E40:Q40)</f>
        <v>1350000</v>
      </c>
      <c r="S40" s="147">
        <f>R40</f>
        <v>1350000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ht="12">
      <c r="A42" s="149" t="s">
        <v>147</v>
      </c>
      <c r="B42" s="146">
        <f>SUM(C42:D42)</f>
        <v>1350000</v>
      </c>
      <c r="C42" s="146">
        <f>SUM(C39:C41)</f>
        <v>1350000</v>
      </c>
      <c r="D42" s="146">
        <f>SUM(D39:D41)</f>
        <v>0</v>
      </c>
      <c r="E42" s="146">
        <f t="shared" ref="E42:T42" si="11">SUM(E40:E41)</f>
        <v>1350000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1350000</v>
      </c>
      <c r="S42" s="150">
        <f t="shared" si="11"/>
        <v>1350000</v>
      </c>
      <c r="T42" s="150">
        <f t="shared" si="11"/>
        <v>0</v>
      </c>
      <c r="U42" s="143"/>
    </row>
    <row r="43" spans="1:21" s="144" customFormat="1" ht="12">
      <c r="A43" s="149" t="s">
        <v>148</v>
      </c>
      <c r="B43" s="146">
        <f>SUM(C43:D43)</f>
        <v>650000</v>
      </c>
      <c r="C43" s="147">
        <v>650000</v>
      </c>
      <c r="D43" s="147"/>
      <c r="E43" s="147">
        <f>C43</f>
        <v>650000</v>
      </c>
      <c r="F43" s="147"/>
      <c r="G43" s="147"/>
      <c r="H43" s="147"/>
      <c r="I43" s="147"/>
      <c r="J43" s="147"/>
      <c r="K43" s="147"/>
      <c r="L43" s="147"/>
      <c r="M43" s="147"/>
      <c r="N43" s="147"/>
      <c r="O43" s="147"/>
      <c r="P43" s="147"/>
      <c r="Q43" s="147"/>
      <c r="R43" s="550">
        <f>SUM(E43:Q43)</f>
        <v>650000</v>
      </c>
      <c r="S43" s="147">
        <f>R43</f>
        <v>650000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6457039.5</v>
      </c>
      <c r="C45" s="147">
        <v>6457039.5</v>
      </c>
      <c r="D45" s="147"/>
      <c r="E45" s="147">
        <f>C45</f>
        <v>6457039.5</v>
      </c>
      <c r="F45" s="147"/>
      <c r="G45" s="147"/>
      <c r="H45" s="147"/>
      <c r="I45" s="147"/>
      <c r="J45" s="147"/>
      <c r="K45" s="147"/>
      <c r="L45" s="147"/>
      <c r="M45" s="147"/>
      <c r="N45" s="147"/>
      <c r="O45" s="147"/>
      <c r="P45" s="147"/>
      <c r="Q45" s="147"/>
      <c r="R45" s="550">
        <f t="shared" ref="R45:R53" si="13">SUM(E45:Q45)</f>
        <v>6457039.5</v>
      </c>
      <c r="S45" s="147">
        <v>4148253</v>
      </c>
      <c r="T45" s="147"/>
      <c r="U45" s="143"/>
    </row>
    <row r="46" spans="1:21" s="144" customFormat="1">
      <c r="A46" s="145" t="s">
        <v>151</v>
      </c>
      <c r="B46" s="146">
        <f t="shared" si="12"/>
        <v>492819.5</v>
      </c>
      <c r="C46" s="147">
        <v>492819.5</v>
      </c>
      <c r="D46" s="147"/>
      <c r="E46" s="147">
        <f t="shared" ref="E46:E53" si="14">C46</f>
        <v>492819.5</v>
      </c>
      <c r="F46" s="147"/>
      <c r="G46" s="147"/>
      <c r="H46" s="147"/>
      <c r="I46" s="147"/>
      <c r="J46" s="147"/>
      <c r="K46" s="147"/>
      <c r="L46" s="147"/>
      <c r="M46" s="147"/>
      <c r="N46" s="147"/>
      <c r="O46" s="147"/>
      <c r="P46" s="147"/>
      <c r="Q46" s="147"/>
      <c r="R46" s="550">
        <f t="shared" si="13"/>
        <v>492819.5</v>
      </c>
      <c r="S46" s="147">
        <v>369615</v>
      </c>
      <c r="T46" s="147"/>
      <c r="U46" s="143"/>
    </row>
    <row r="47" spans="1:21" s="144" customFormat="1">
      <c r="A47" s="198" t="s">
        <v>152</v>
      </c>
      <c r="B47" s="146">
        <f t="shared" si="12"/>
        <v>15000</v>
      </c>
      <c r="C47" s="147">
        <v>15000</v>
      </c>
      <c r="D47" s="147"/>
      <c r="E47" s="147">
        <f t="shared" si="14"/>
        <v>15000</v>
      </c>
      <c r="F47" s="147"/>
      <c r="G47" s="147"/>
      <c r="H47" s="147"/>
      <c r="I47" s="147"/>
      <c r="J47" s="147"/>
      <c r="K47" s="147"/>
      <c r="L47" s="147"/>
      <c r="M47" s="147"/>
      <c r="N47" s="147"/>
      <c r="O47" s="147"/>
      <c r="P47" s="147"/>
      <c r="Q47" s="147"/>
      <c r="R47" s="550">
        <f t="shared" si="13"/>
        <v>15000</v>
      </c>
      <c r="S47" s="147">
        <v>11250</v>
      </c>
      <c r="T47" s="147"/>
      <c r="U47" s="143"/>
    </row>
    <row r="48" spans="1:21" s="144" customFormat="1">
      <c r="A48" s="145" t="s">
        <v>153</v>
      </c>
      <c r="B48" s="146">
        <f t="shared" si="12"/>
        <v>441609.4</v>
      </c>
      <c r="C48" s="147">
        <v>441609.4</v>
      </c>
      <c r="D48" s="147"/>
      <c r="E48" s="147">
        <f t="shared" si="14"/>
        <v>441609.4</v>
      </c>
      <c r="F48" s="147"/>
      <c r="G48" s="147"/>
      <c r="H48" s="147"/>
      <c r="I48" s="147"/>
      <c r="J48" s="147"/>
      <c r="K48" s="147"/>
      <c r="L48" s="147"/>
      <c r="M48" s="147"/>
      <c r="N48" s="147"/>
      <c r="O48" s="147"/>
      <c r="P48" s="147"/>
      <c r="Q48" s="147"/>
      <c r="R48" s="550">
        <f t="shared" si="13"/>
        <v>441609.4</v>
      </c>
      <c r="S48" s="147">
        <f t="shared" ref="S48:S53" si="15">R48</f>
        <v>441609.4</v>
      </c>
      <c r="T48" s="147"/>
      <c r="U48" s="143"/>
    </row>
    <row r="49" spans="1:21" s="144" customFormat="1">
      <c r="A49" s="145" t="s">
        <v>57</v>
      </c>
      <c r="B49" s="146">
        <f t="shared" si="12"/>
        <v>123205</v>
      </c>
      <c r="C49" s="147">
        <v>123205</v>
      </c>
      <c r="D49" s="147"/>
      <c r="E49" s="147">
        <f t="shared" si="14"/>
        <v>123205</v>
      </c>
      <c r="F49" s="147"/>
      <c r="G49" s="147"/>
      <c r="H49" s="147"/>
      <c r="I49" s="147"/>
      <c r="J49" s="147"/>
      <c r="K49" s="147"/>
      <c r="L49" s="147"/>
      <c r="M49" s="147"/>
      <c r="N49" s="147"/>
      <c r="O49" s="147"/>
      <c r="P49" s="147"/>
      <c r="Q49" s="147"/>
      <c r="R49" s="550">
        <f t="shared" si="13"/>
        <v>123205</v>
      </c>
      <c r="S49" s="147">
        <f t="shared" si="15"/>
        <v>123205</v>
      </c>
      <c r="T49" s="147"/>
      <c r="U49" s="143"/>
    </row>
    <row r="50" spans="1:21" s="144" customFormat="1">
      <c r="A50" s="145" t="s">
        <v>156</v>
      </c>
      <c r="B50" s="146">
        <f t="shared" si="12"/>
        <v>100000</v>
      </c>
      <c r="C50" s="147">
        <v>100000</v>
      </c>
      <c r="D50" s="147"/>
      <c r="E50" s="147">
        <f t="shared" si="14"/>
        <v>100000</v>
      </c>
      <c r="F50" s="147"/>
      <c r="G50" s="147"/>
      <c r="H50" s="147"/>
      <c r="I50" s="147"/>
      <c r="J50" s="147"/>
      <c r="K50" s="147"/>
      <c r="L50" s="147"/>
      <c r="M50" s="147"/>
      <c r="N50" s="147"/>
      <c r="O50" s="147"/>
      <c r="P50" s="147"/>
      <c r="Q50" s="147"/>
      <c r="R50" s="550">
        <f t="shared" si="13"/>
        <v>100000</v>
      </c>
      <c r="S50" s="147">
        <v>75000</v>
      </c>
      <c r="T50" s="147"/>
      <c r="U50" s="143"/>
    </row>
    <row r="51" spans="1:21" s="144" customFormat="1">
      <c r="A51" s="304" t="s">
        <v>154</v>
      </c>
      <c r="B51" s="146">
        <f t="shared" si="12"/>
        <v>105000</v>
      </c>
      <c r="C51" s="147">
        <v>105000</v>
      </c>
      <c r="D51" s="147"/>
      <c r="E51" s="147">
        <f t="shared" si="14"/>
        <v>105000</v>
      </c>
      <c r="F51" s="147"/>
      <c r="G51" s="147"/>
      <c r="H51" s="147"/>
      <c r="I51" s="147"/>
      <c r="J51" s="147"/>
      <c r="K51" s="147"/>
      <c r="L51" s="147"/>
      <c r="M51" s="147"/>
      <c r="N51" s="147"/>
      <c r="O51" s="147"/>
      <c r="P51" s="147"/>
      <c r="Q51" s="147"/>
      <c r="R51" s="550">
        <f t="shared" si="13"/>
        <v>105000</v>
      </c>
      <c r="S51" s="147">
        <f t="shared" si="15"/>
        <v>105000</v>
      </c>
      <c r="T51" s="147"/>
      <c r="U51" s="143"/>
    </row>
    <row r="52" spans="1:21" s="144" customFormat="1">
      <c r="A52" s="145" t="s">
        <v>155</v>
      </c>
      <c r="B52" s="146">
        <f t="shared" si="12"/>
        <v>750000</v>
      </c>
      <c r="C52" s="147">
        <v>750000</v>
      </c>
      <c r="D52" s="147"/>
      <c r="E52" s="147">
        <f t="shared" si="14"/>
        <v>750000</v>
      </c>
      <c r="F52" s="147"/>
      <c r="G52" s="147"/>
      <c r="H52" s="147"/>
      <c r="I52" s="147"/>
      <c r="J52" s="147"/>
      <c r="K52" s="147"/>
      <c r="L52" s="147"/>
      <c r="M52" s="147"/>
      <c r="N52" s="147"/>
      <c r="O52" s="147"/>
      <c r="P52" s="147"/>
      <c r="Q52" s="147"/>
      <c r="R52" s="550">
        <f t="shared" si="13"/>
        <v>750000</v>
      </c>
      <c r="S52" s="147">
        <f t="shared" si="15"/>
        <v>750000</v>
      </c>
      <c r="T52" s="147"/>
      <c r="U52" s="143"/>
    </row>
    <row r="53" spans="1:21" s="144" customFormat="1">
      <c r="A53" s="1193" t="s">
        <v>2763</v>
      </c>
      <c r="B53" s="146">
        <f t="shared" si="12"/>
        <v>25000</v>
      </c>
      <c r="C53" s="147">
        <v>25000</v>
      </c>
      <c r="D53" s="147"/>
      <c r="E53" s="147">
        <f t="shared" si="14"/>
        <v>25000</v>
      </c>
      <c r="F53" s="147"/>
      <c r="G53" s="147"/>
      <c r="H53" s="147"/>
      <c r="I53" s="147"/>
      <c r="J53" s="147"/>
      <c r="K53" s="147"/>
      <c r="L53" s="147"/>
      <c r="M53" s="147"/>
      <c r="N53" s="147"/>
      <c r="O53" s="147"/>
      <c r="P53" s="147"/>
      <c r="Q53" s="147"/>
      <c r="R53" s="550">
        <f t="shared" si="13"/>
        <v>25000</v>
      </c>
      <c r="S53" s="147">
        <f t="shared" si="15"/>
        <v>25000</v>
      </c>
      <c r="T53" s="147"/>
      <c r="U53" s="143"/>
    </row>
    <row r="54" spans="1:21" s="153" customFormat="1" ht="12">
      <c r="A54" s="149" t="s">
        <v>157</v>
      </c>
      <c r="B54" s="150">
        <f>SUM(C54:D54)</f>
        <v>8509673.4000000004</v>
      </c>
      <c r="C54" s="150">
        <f t="shared" ref="C54:T54" si="16">SUM(C45:C53)</f>
        <v>8509673.4000000004</v>
      </c>
      <c r="D54" s="150">
        <f t="shared" si="16"/>
        <v>0</v>
      </c>
      <c r="E54" s="150">
        <f t="shared" si="16"/>
        <v>8509673.4000000004</v>
      </c>
      <c r="F54" s="150">
        <f t="shared" si="16"/>
        <v>0</v>
      </c>
      <c r="G54" s="150">
        <f t="shared" si="16"/>
        <v>0</v>
      </c>
      <c r="H54" s="150">
        <f t="shared" si="16"/>
        <v>0</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70">
        <f t="shared" si="16"/>
        <v>8509673.4000000004</v>
      </c>
      <c r="S54" s="150">
        <f t="shared" si="16"/>
        <v>6048932.4000000004</v>
      </c>
      <c r="T54" s="150">
        <f t="shared" si="16"/>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0</v>
      </c>
      <c r="C56" s="147"/>
      <c r="D56" s="147"/>
      <c r="E56" s="147"/>
      <c r="F56" s="147"/>
      <c r="G56" s="147"/>
      <c r="H56" s="147"/>
      <c r="I56" s="147"/>
      <c r="J56" s="147"/>
      <c r="K56" s="147"/>
      <c r="L56" s="147"/>
      <c r="M56" s="147"/>
      <c r="N56" s="147"/>
      <c r="O56" s="147"/>
      <c r="P56" s="147"/>
      <c r="Q56" s="147"/>
      <c r="R56" s="550">
        <f t="shared" ref="R56:R61" si="18">SUM(E56:Q56)</f>
        <v>0</v>
      </c>
      <c r="S56" s="148"/>
      <c r="T56" s="148"/>
      <c r="U56" s="143"/>
    </row>
    <row r="57" spans="1:21" s="204" customFormat="1">
      <c r="A57" s="198" t="s">
        <v>152</v>
      </c>
      <c r="B57" s="205">
        <f t="shared" si="17"/>
        <v>0</v>
      </c>
      <c r="C57" s="202"/>
      <c r="D57" s="202"/>
      <c r="E57" s="202"/>
      <c r="F57" s="202"/>
      <c r="G57" s="202"/>
      <c r="H57" s="202"/>
      <c r="I57" s="202"/>
      <c r="J57" s="202"/>
      <c r="K57" s="202"/>
      <c r="L57" s="202"/>
      <c r="M57" s="202"/>
      <c r="N57" s="202"/>
      <c r="O57" s="202"/>
      <c r="P57" s="202"/>
      <c r="Q57" s="202"/>
      <c r="R57" s="550">
        <f t="shared" si="18"/>
        <v>0</v>
      </c>
      <c r="S57" s="206"/>
      <c r="T57" s="206"/>
      <c r="U57" s="203"/>
    </row>
    <row r="58" spans="1:21" s="144" customFormat="1">
      <c r="A58" s="145" t="s">
        <v>156</v>
      </c>
      <c r="B58" s="146">
        <f t="shared" si="17"/>
        <v>10000</v>
      </c>
      <c r="C58" s="147">
        <v>10000</v>
      </c>
      <c r="D58" s="147"/>
      <c r="E58" s="147">
        <f>C58</f>
        <v>10000</v>
      </c>
      <c r="F58" s="147"/>
      <c r="G58" s="147"/>
      <c r="H58" s="147"/>
      <c r="I58" s="147"/>
      <c r="J58" s="147"/>
      <c r="K58" s="147"/>
      <c r="L58" s="147"/>
      <c r="M58" s="147"/>
      <c r="N58" s="147"/>
      <c r="O58" s="147"/>
      <c r="P58" s="147"/>
      <c r="Q58" s="147"/>
      <c r="R58" s="550">
        <f t="shared" si="18"/>
        <v>10000</v>
      </c>
      <c r="S58" s="148"/>
      <c r="T58" s="148"/>
      <c r="U58" s="143"/>
    </row>
    <row r="59" spans="1:21" s="144" customFormat="1">
      <c r="A59" s="304" t="s">
        <v>154</v>
      </c>
      <c r="B59" s="146">
        <f t="shared" si="17"/>
        <v>0</v>
      </c>
      <c r="C59" s="147"/>
      <c r="D59" s="147"/>
      <c r="E59" s="147"/>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7"/>
        <v>0</v>
      </c>
      <c r="C60" s="147"/>
      <c r="D60" s="147"/>
      <c r="E60" s="147"/>
      <c r="F60" s="147"/>
      <c r="G60" s="147"/>
      <c r="H60" s="147"/>
      <c r="I60" s="147"/>
      <c r="J60" s="147"/>
      <c r="K60" s="147"/>
      <c r="L60" s="147"/>
      <c r="M60" s="147"/>
      <c r="N60" s="147"/>
      <c r="O60" s="147"/>
      <c r="P60" s="147"/>
      <c r="Q60" s="147"/>
      <c r="R60" s="550">
        <f t="shared" si="18"/>
        <v>0</v>
      </c>
      <c r="S60" s="148"/>
      <c r="T60" s="148"/>
      <c r="U60" s="143"/>
    </row>
    <row r="61" spans="1:21" s="144" customFormat="1">
      <c r="A61" s="1193" t="s">
        <v>2764</v>
      </c>
      <c r="B61" s="146">
        <f t="shared" si="17"/>
        <v>15000</v>
      </c>
      <c r="C61" s="147">
        <v>15000</v>
      </c>
      <c r="D61" s="147"/>
      <c r="E61" s="147">
        <f>C61</f>
        <v>15000</v>
      </c>
      <c r="F61" s="147"/>
      <c r="G61" s="147"/>
      <c r="H61" s="147"/>
      <c r="I61" s="147"/>
      <c r="J61" s="147"/>
      <c r="K61" s="147"/>
      <c r="L61" s="147"/>
      <c r="M61" s="147"/>
      <c r="N61" s="147"/>
      <c r="O61" s="147"/>
      <c r="P61" s="147"/>
      <c r="Q61" s="147"/>
      <c r="R61" s="550">
        <f t="shared" si="18"/>
        <v>15000</v>
      </c>
      <c r="S61" s="148"/>
      <c r="T61" s="148"/>
      <c r="U61" s="143"/>
    </row>
    <row r="62" spans="1:21" s="144" customFormat="1" ht="13.8" customHeight="1">
      <c r="A62" s="149" t="s">
        <v>302</v>
      </c>
      <c r="B62" s="146">
        <f>SUM(C62:D62)</f>
        <v>25000</v>
      </c>
      <c r="C62" s="146">
        <f t="shared" ref="C62:R62" si="19">SUM(C56:C61)</f>
        <v>25000</v>
      </c>
      <c r="D62" s="146">
        <f t="shared" si="19"/>
        <v>0</v>
      </c>
      <c r="E62" s="146">
        <f t="shared" si="19"/>
        <v>25000</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25000</v>
      </c>
      <c r="S62" s="148"/>
      <c r="T62" s="148"/>
      <c r="U62" s="143"/>
    </row>
    <row r="63" spans="1:21" s="144" customFormat="1">
      <c r="A63" s="154" t="s">
        <v>303</v>
      </c>
      <c r="B63" s="146">
        <f t="shared" ref="B63:R63" si="20">SUM(B8+B11+B13+B14+B15+B26+B27+B38+B42+B43+B54+B62)</f>
        <v>68593063.600000009</v>
      </c>
      <c r="C63" s="146">
        <f t="shared" si="20"/>
        <v>68593063.600000009</v>
      </c>
      <c r="D63" s="146">
        <f t="shared" si="20"/>
        <v>0</v>
      </c>
      <c r="E63" s="146">
        <f t="shared" si="20"/>
        <v>33758409.600000001</v>
      </c>
      <c r="F63" s="146">
        <f t="shared" si="20"/>
        <v>34834654</v>
      </c>
      <c r="G63" s="146">
        <f t="shared" si="20"/>
        <v>0</v>
      </c>
      <c r="H63" s="146">
        <f t="shared" si="20"/>
        <v>0</v>
      </c>
      <c r="I63" s="146">
        <f t="shared" si="20"/>
        <v>0</v>
      </c>
      <c r="J63" s="146">
        <f t="shared" si="20"/>
        <v>0</v>
      </c>
      <c r="K63" s="146">
        <f t="shared" si="20"/>
        <v>0</v>
      </c>
      <c r="L63" s="146">
        <f t="shared" si="20"/>
        <v>0</v>
      </c>
      <c r="M63" s="146">
        <f t="shared" si="20"/>
        <v>0</v>
      </c>
      <c r="N63" s="146">
        <f t="shared" si="20"/>
        <v>0</v>
      </c>
      <c r="O63" s="146">
        <f t="shared" si="20"/>
        <v>0</v>
      </c>
      <c r="P63" s="146">
        <f t="shared" si="20"/>
        <v>0</v>
      </c>
      <c r="Q63" s="146">
        <f t="shared" si="20"/>
        <v>0</v>
      </c>
      <c r="R63" s="370">
        <f t="shared" si="20"/>
        <v>68593063.600000009</v>
      </c>
      <c r="S63" s="146">
        <f>SUM(S10+S13+S14+S15+S26+S27+S38+S42+S43+S54)</f>
        <v>57607322.600000001</v>
      </c>
      <c r="T63" s="146">
        <f>SUM(T11+T13+T14+T15+T26+T27+T38+T42+T43+T54)</f>
        <v>0</v>
      </c>
      <c r="U63" s="143"/>
    </row>
    <row r="64" spans="1:21" s="144" customFormat="1" ht="22.8">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f>C65</f>
        <v>100000</v>
      </c>
      <c r="F65" s="147"/>
      <c r="G65" s="147"/>
      <c r="H65" s="147"/>
      <c r="I65" s="147"/>
      <c r="J65" s="147"/>
      <c r="K65" s="147"/>
      <c r="L65" s="147"/>
      <c r="M65" s="147"/>
      <c r="N65" s="147"/>
      <c r="O65" s="147"/>
      <c r="P65" s="147"/>
      <c r="Q65" s="147"/>
      <c r="R65" s="550">
        <f>SUM(E65:Q65)</f>
        <v>100000</v>
      </c>
      <c r="S65" s="147">
        <f>R65</f>
        <v>100000</v>
      </c>
      <c r="T65" s="147"/>
      <c r="U65" s="143"/>
    </row>
    <row r="66" spans="1:21" s="144" customFormat="1" ht="24" customHeight="1">
      <c r="A66" s="304" t="s">
        <v>1751</v>
      </c>
      <c r="B66" s="146">
        <f>SUM(C66+D66)</f>
        <v>0</v>
      </c>
      <c r="C66" s="147"/>
      <c r="D66" s="147"/>
      <c r="E66" s="147">
        <f t="shared" ref="E66:E69" si="21">C66</f>
        <v>0</v>
      </c>
      <c r="F66" s="147"/>
      <c r="G66" s="147"/>
      <c r="H66" s="147"/>
      <c r="I66" s="147"/>
      <c r="J66" s="147"/>
      <c r="K66" s="147"/>
      <c r="L66" s="147"/>
      <c r="M66" s="147"/>
      <c r="N66" s="147"/>
      <c r="O66" s="147"/>
      <c r="P66" s="147"/>
      <c r="Q66" s="147"/>
      <c r="R66" s="550">
        <f>SUM(E66:Q66)</f>
        <v>0</v>
      </c>
      <c r="S66" s="147">
        <f t="shared" ref="S66:S68" si="22">R66</f>
        <v>0</v>
      </c>
      <c r="T66" s="147"/>
      <c r="U66" s="143"/>
    </row>
    <row r="67" spans="1:21" s="144" customFormat="1" ht="24" customHeight="1">
      <c r="A67" s="304" t="s">
        <v>1752</v>
      </c>
      <c r="B67" s="146">
        <f>SUM(C67+D67)</f>
        <v>0</v>
      </c>
      <c r="C67" s="147"/>
      <c r="D67" s="147"/>
      <c r="E67" s="147">
        <f t="shared" si="21"/>
        <v>0</v>
      </c>
      <c r="F67" s="147"/>
      <c r="G67" s="147"/>
      <c r="H67" s="147"/>
      <c r="I67" s="147"/>
      <c r="J67" s="147"/>
      <c r="K67" s="147"/>
      <c r="L67" s="147"/>
      <c r="M67" s="147"/>
      <c r="N67" s="147"/>
      <c r="O67" s="147"/>
      <c r="P67" s="147"/>
      <c r="Q67" s="147"/>
      <c r="R67" s="550">
        <f>SUM(E67:Q67)</f>
        <v>0</v>
      </c>
      <c r="S67" s="147">
        <f t="shared" si="22"/>
        <v>0</v>
      </c>
      <c r="T67" s="147"/>
      <c r="U67" s="143"/>
    </row>
    <row r="68" spans="1:21" s="144" customFormat="1" ht="12" customHeight="1">
      <c r="A68" s="304" t="s">
        <v>1758</v>
      </c>
      <c r="B68" s="146">
        <f>SUM(C68+D68)</f>
        <v>0</v>
      </c>
      <c r="C68" s="147"/>
      <c r="D68" s="147"/>
      <c r="E68" s="147">
        <f t="shared" si="21"/>
        <v>0</v>
      </c>
      <c r="F68" s="147"/>
      <c r="G68" s="147"/>
      <c r="H68" s="147"/>
      <c r="I68" s="147"/>
      <c r="J68" s="147"/>
      <c r="K68" s="147"/>
      <c r="L68" s="147"/>
      <c r="M68" s="147"/>
      <c r="N68" s="147"/>
      <c r="O68" s="147"/>
      <c r="P68" s="147"/>
      <c r="Q68" s="147"/>
      <c r="R68" s="550">
        <f>SUM(E68:Q68)</f>
        <v>0</v>
      </c>
      <c r="S68" s="147">
        <f t="shared" si="22"/>
        <v>0</v>
      </c>
      <c r="T68" s="147"/>
      <c r="U68" s="143"/>
    </row>
    <row r="69" spans="1:21" s="144" customFormat="1" ht="22.8">
      <c r="A69" s="1193" t="s">
        <v>2765</v>
      </c>
      <c r="B69" s="146">
        <f>SUM(C69+D69)</f>
        <v>225000</v>
      </c>
      <c r="C69" s="147">
        <f>75000+50000+50000+50000</f>
        <v>225000</v>
      </c>
      <c r="D69" s="147"/>
      <c r="E69" s="147">
        <f t="shared" si="21"/>
        <v>225000</v>
      </c>
      <c r="F69" s="147"/>
      <c r="G69" s="147"/>
      <c r="H69" s="147"/>
      <c r="I69" s="147"/>
      <c r="J69" s="147"/>
      <c r="K69" s="147"/>
      <c r="L69" s="147"/>
      <c r="M69" s="147"/>
      <c r="N69" s="147"/>
      <c r="O69" s="147"/>
      <c r="P69" s="147"/>
      <c r="Q69" s="147"/>
      <c r="R69" s="550">
        <f>SUM(E69:Q69)</f>
        <v>225000</v>
      </c>
      <c r="S69" s="147">
        <v>75000</v>
      </c>
      <c r="T69" s="147"/>
      <c r="U69" s="143"/>
    </row>
    <row r="70" spans="1:21" s="144" customFormat="1" ht="12">
      <c r="A70" s="149" t="s">
        <v>1755</v>
      </c>
      <c r="B70" s="146">
        <f>SUM(C70:D70)</f>
        <v>325000</v>
      </c>
      <c r="C70" s="146">
        <f>SUM(C65:C69)</f>
        <v>325000</v>
      </c>
      <c r="D70" s="146">
        <f>SUM(D65:D69)</f>
        <v>0</v>
      </c>
      <c r="E70" s="146">
        <f t="shared" ref="E70:T70" si="23">SUM(E65:E69)</f>
        <v>325000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70">
        <f t="shared" si="23"/>
        <v>325000</v>
      </c>
      <c r="S70" s="150">
        <f t="shared" si="23"/>
        <v>175000</v>
      </c>
      <c r="T70" s="150">
        <f t="shared" si="23"/>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779349.4</v>
      </c>
      <c r="C75" s="147">
        <v>779349.4</v>
      </c>
      <c r="D75" s="147"/>
      <c r="E75" s="147">
        <f>C75</f>
        <v>779349.4</v>
      </c>
      <c r="F75" s="147"/>
      <c r="G75" s="147"/>
      <c r="H75" s="147"/>
      <c r="I75" s="147"/>
      <c r="J75" s="147"/>
      <c r="K75" s="147"/>
      <c r="L75" s="147"/>
      <c r="M75" s="147"/>
      <c r="N75" s="147"/>
      <c r="O75" s="147"/>
      <c r="P75" s="147"/>
      <c r="Q75" s="147"/>
      <c r="R75" s="550">
        <f>SUM(E75:Q75)</f>
        <v>779349.4</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ht="12">
      <c r="A77" s="149" t="s">
        <v>614</v>
      </c>
      <c r="B77" s="146">
        <f>SUM(C77:D77)</f>
        <v>779349.4</v>
      </c>
      <c r="C77" s="146">
        <f>SUM(C72:C76)</f>
        <v>779349.4</v>
      </c>
      <c r="D77" s="146">
        <f>SUM(D72:D76)</f>
        <v>0</v>
      </c>
      <c r="E77" s="146">
        <f t="shared" ref="E77:Q77" si="24">SUM(E72:E76)</f>
        <v>779349.4</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70">
        <f>SUM(R72:R76)</f>
        <v>779349.4</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2500000</v>
      </c>
      <c r="C79" s="147">
        <v>2500000</v>
      </c>
      <c r="D79" s="147"/>
      <c r="E79" s="147">
        <f>C79</f>
        <v>2500000</v>
      </c>
      <c r="F79" s="147"/>
      <c r="G79" s="147"/>
      <c r="H79" s="147"/>
      <c r="I79" s="147"/>
      <c r="J79" s="147"/>
      <c r="K79" s="147"/>
      <c r="L79" s="147"/>
      <c r="M79" s="147"/>
      <c r="N79" s="147"/>
      <c r="O79" s="147"/>
      <c r="P79" s="147"/>
      <c r="Q79" s="147"/>
      <c r="R79" s="550">
        <f>SUM(E79:Q79)</f>
        <v>2500000</v>
      </c>
      <c r="S79" s="147">
        <f>R79</f>
        <v>2500000</v>
      </c>
      <c r="T79" s="147"/>
      <c r="U79" s="143"/>
    </row>
    <row r="80" spans="1:21" s="144" customFormat="1">
      <c r="A80" s="304" t="s">
        <v>58</v>
      </c>
      <c r="B80" s="146">
        <f>SUM(C80:D80)</f>
        <v>631820</v>
      </c>
      <c r="C80" s="147">
        <v>631820</v>
      </c>
      <c r="D80" s="147"/>
      <c r="E80" s="147">
        <f>C80</f>
        <v>631820</v>
      </c>
      <c r="F80" s="147"/>
      <c r="G80" s="147"/>
      <c r="H80" s="147"/>
      <c r="I80" s="147"/>
      <c r="J80" s="147"/>
      <c r="K80" s="147"/>
      <c r="L80" s="147"/>
      <c r="M80" s="147"/>
      <c r="N80" s="147"/>
      <c r="O80" s="147"/>
      <c r="P80" s="147"/>
      <c r="Q80" s="147"/>
      <c r="R80" s="550">
        <f>SUM(E80:Q80)</f>
        <v>631820</v>
      </c>
      <c r="S80" s="147">
        <f>R80</f>
        <v>631820</v>
      </c>
      <c r="T80" s="147"/>
      <c r="U80" s="143"/>
    </row>
    <row r="81" spans="1:21" s="144" customFormat="1" ht="12">
      <c r="A81" s="149" t="s">
        <v>1314</v>
      </c>
      <c r="B81" s="146">
        <f>SUM(C81:D81)</f>
        <v>3131820</v>
      </c>
      <c r="C81" s="543">
        <f>SUM(C79:C80)</f>
        <v>3131820</v>
      </c>
      <c r="D81" s="543">
        <f t="shared" ref="D81:T81" si="25">SUM(D79:D80)</f>
        <v>0</v>
      </c>
      <c r="E81" s="543">
        <f t="shared" si="25"/>
        <v>3131820</v>
      </c>
      <c r="F81" s="543">
        <f t="shared" si="25"/>
        <v>0</v>
      </c>
      <c r="G81" s="543">
        <f t="shared" si="25"/>
        <v>0</v>
      </c>
      <c r="H81" s="543">
        <f t="shared" si="25"/>
        <v>0</v>
      </c>
      <c r="I81" s="543">
        <f t="shared" si="25"/>
        <v>0</v>
      </c>
      <c r="J81" s="543">
        <f t="shared" si="25"/>
        <v>0</v>
      </c>
      <c r="K81" s="543">
        <f t="shared" si="25"/>
        <v>0</v>
      </c>
      <c r="L81" s="543">
        <f t="shared" si="25"/>
        <v>0</v>
      </c>
      <c r="M81" s="543">
        <f t="shared" si="25"/>
        <v>0</v>
      </c>
      <c r="N81" s="543">
        <f t="shared" si="25"/>
        <v>0</v>
      </c>
      <c r="O81" s="543">
        <f t="shared" si="25"/>
        <v>0</v>
      </c>
      <c r="P81" s="543">
        <f t="shared" si="25"/>
        <v>0</v>
      </c>
      <c r="Q81" s="543">
        <f t="shared" si="25"/>
        <v>0</v>
      </c>
      <c r="R81" s="543">
        <f t="shared" si="25"/>
        <v>3131820</v>
      </c>
      <c r="S81" s="543">
        <f t="shared" si="25"/>
        <v>3131820</v>
      </c>
      <c r="T81" s="543">
        <f t="shared" si="25"/>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8" customHeight="1">
      <c r="A83" s="145" t="s">
        <v>2405</v>
      </c>
      <c r="B83" s="146">
        <f t="shared" ref="B83:B95" si="26">SUM(C83+D83)</f>
        <v>110263</v>
      </c>
      <c r="C83" s="147">
        <v>110263</v>
      </c>
      <c r="D83" s="147"/>
      <c r="E83" s="147">
        <f>C83</f>
        <v>110263</v>
      </c>
      <c r="F83" s="147"/>
      <c r="G83" s="147"/>
      <c r="H83" s="147"/>
      <c r="I83" s="147"/>
      <c r="J83" s="147"/>
      <c r="K83" s="147"/>
      <c r="L83" s="147"/>
      <c r="M83" s="147"/>
      <c r="N83" s="147"/>
      <c r="O83" s="147"/>
      <c r="P83" s="147"/>
      <c r="Q83" s="147"/>
      <c r="R83" s="550">
        <f t="shared" ref="R83:R95" si="27">SUM(E83:Q83)</f>
        <v>110263</v>
      </c>
      <c r="S83" s="148"/>
      <c r="T83" s="148"/>
      <c r="U83" s="143"/>
    </row>
    <row r="84" spans="1:21" s="144" customFormat="1">
      <c r="A84" s="145" t="s">
        <v>775</v>
      </c>
      <c r="B84" s="146">
        <f t="shared" si="26"/>
        <v>50000</v>
      </c>
      <c r="C84" s="147">
        <v>50000</v>
      </c>
      <c r="D84" s="147"/>
      <c r="E84" s="147">
        <f>C84</f>
        <v>50000</v>
      </c>
      <c r="F84" s="147"/>
      <c r="G84" s="147"/>
      <c r="H84" s="147"/>
      <c r="I84" s="147"/>
      <c r="J84" s="147"/>
      <c r="K84" s="147"/>
      <c r="L84" s="147"/>
      <c r="M84" s="147"/>
      <c r="N84" s="147"/>
      <c r="O84" s="147"/>
      <c r="P84" s="147"/>
      <c r="Q84" s="147"/>
      <c r="R84" s="550">
        <f t="shared" si="27"/>
        <v>50000</v>
      </c>
      <c r="S84" s="147">
        <f>R84</f>
        <v>50000</v>
      </c>
      <c r="T84" s="147"/>
      <c r="U84" s="143"/>
    </row>
    <row r="85" spans="1:21" s="144" customFormat="1">
      <c r="A85" s="145" t="s">
        <v>776</v>
      </c>
      <c r="B85" s="146">
        <f t="shared" si="26"/>
        <v>2239299</v>
      </c>
      <c r="C85" s="147">
        <v>2239299</v>
      </c>
      <c r="D85" s="147"/>
      <c r="E85" s="147">
        <f t="shared" ref="E85:E95" si="28">C85</f>
        <v>2239299</v>
      </c>
      <c r="F85" s="147"/>
      <c r="G85" s="147"/>
      <c r="H85" s="147"/>
      <c r="I85" s="147"/>
      <c r="J85" s="147"/>
      <c r="K85" s="147"/>
      <c r="L85" s="147"/>
      <c r="M85" s="147"/>
      <c r="N85" s="147"/>
      <c r="O85" s="147"/>
      <c r="P85" s="147"/>
      <c r="Q85" s="147"/>
      <c r="R85" s="550">
        <f t="shared" si="27"/>
        <v>2239299</v>
      </c>
      <c r="S85" s="147">
        <f t="shared" ref="S85:S87" si="29">R85</f>
        <v>2239299</v>
      </c>
      <c r="T85" s="147"/>
      <c r="U85" s="143"/>
    </row>
    <row r="86" spans="1:21" s="144" customFormat="1">
      <c r="A86" s="145" t="s">
        <v>777</v>
      </c>
      <c r="B86" s="146">
        <f t="shared" si="26"/>
        <v>1260701</v>
      </c>
      <c r="C86" s="147">
        <v>1260701</v>
      </c>
      <c r="D86" s="147"/>
      <c r="E86" s="147">
        <f t="shared" si="28"/>
        <v>1260701</v>
      </c>
      <c r="F86" s="147"/>
      <c r="G86" s="147"/>
      <c r="H86" s="147"/>
      <c r="I86" s="147"/>
      <c r="J86" s="147"/>
      <c r="K86" s="147"/>
      <c r="L86" s="147"/>
      <c r="M86" s="147"/>
      <c r="N86" s="147"/>
      <c r="O86" s="147"/>
      <c r="P86" s="147"/>
      <c r="Q86" s="147"/>
      <c r="R86" s="550">
        <f t="shared" si="27"/>
        <v>1260701</v>
      </c>
      <c r="S86" s="147">
        <f t="shared" si="29"/>
        <v>1260701</v>
      </c>
      <c r="T86" s="147"/>
      <c r="U86" s="143"/>
    </row>
    <row r="87" spans="1:21" s="144" customFormat="1">
      <c r="A87" s="145" t="s">
        <v>778</v>
      </c>
      <c r="B87" s="146">
        <f t="shared" si="26"/>
        <v>0</v>
      </c>
      <c r="C87" s="147"/>
      <c r="D87" s="147"/>
      <c r="E87" s="147">
        <f t="shared" si="28"/>
        <v>0</v>
      </c>
      <c r="F87" s="147"/>
      <c r="G87" s="147"/>
      <c r="H87" s="147"/>
      <c r="I87" s="147"/>
      <c r="J87" s="147"/>
      <c r="K87" s="147"/>
      <c r="L87" s="147"/>
      <c r="M87" s="147"/>
      <c r="N87" s="147"/>
      <c r="O87" s="147"/>
      <c r="P87" s="147"/>
      <c r="Q87" s="147"/>
      <c r="R87" s="550">
        <f t="shared" si="27"/>
        <v>0</v>
      </c>
      <c r="S87" s="147">
        <f t="shared" si="29"/>
        <v>0</v>
      </c>
      <c r="T87" s="147"/>
      <c r="U87" s="143"/>
    </row>
    <row r="88" spans="1:21" s="144" customFormat="1">
      <c r="A88" s="145" t="s">
        <v>779</v>
      </c>
      <c r="B88" s="146">
        <f t="shared" si="26"/>
        <v>139000</v>
      </c>
      <c r="C88" s="147">
        <v>139000</v>
      </c>
      <c r="D88" s="147"/>
      <c r="E88" s="147">
        <f t="shared" si="28"/>
        <v>139000</v>
      </c>
      <c r="F88" s="147"/>
      <c r="G88" s="147"/>
      <c r="H88" s="147"/>
      <c r="I88" s="147"/>
      <c r="J88" s="147"/>
      <c r="K88" s="147"/>
      <c r="L88" s="147"/>
      <c r="M88" s="147"/>
      <c r="N88" s="147"/>
      <c r="O88" s="147"/>
      <c r="P88" s="147"/>
      <c r="Q88" s="147"/>
      <c r="R88" s="550">
        <f t="shared" si="27"/>
        <v>139000</v>
      </c>
      <c r="S88" s="148"/>
      <c r="T88" s="148"/>
      <c r="U88" s="143"/>
    </row>
    <row r="89" spans="1:21" s="144" customFormat="1">
      <c r="A89" s="145" t="s">
        <v>780</v>
      </c>
      <c r="B89" s="146">
        <f t="shared" si="26"/>
        <v>100000</v>
      </c>
      <c r="C89" s="147">
        <v>100000</v>
      </c>
      <c r="D89" s="147"/>
      <c r="E89" s="147">
        <f t="shared" si="28"/>
        <v>100000</v>
      </c>
      <c r="F89" s="147"/>
      <c r="G89" s="147"/>
      <c r="H89" s="147"/>
      <c r="I89" s="147"/>
      <c r="J89" s="147"/>
      <c r="K89" s="147"/>
      <c r="L89" s="147"/>
      <c r="M89" s="147"/>
      <c r="N89" s="147"/>
      <c r="O89" s="147"/>
      <c r="P89" s="147"/>
      <c r="Q89" s="147"/>
      <c r="R89" s="550">
        <f t="shared" si="27"/>
        <v>100000</v>
      </c>
      <c r="S89" s="147">
        <f>R89</f>
        <v>100000</v>
      </c>
      <c r="T89" s="147"/>
      <c r="U89" s="143"/>
    </row>
    <row r="90" spans="1:21" s="144" customFormat="1">
      <c r="A90" s="145" t="s">
        <v>781</v>
      </c>
      <c r="B90" s="146">
        <f t="shared" si="26"/>
        <v>15000</v>
      </c>
      <c r="C90" s="147">
        <v>15000</v>
      </c>
      <c r="D90" s="147"/>
      <c r="E90" s="147">
        <f t="shared" si="28"/>
        <v>15000</v>
      </c>
      <c r="F90" s="147"/>
      <c r="G90" s="147"/>
      <c r="H90" s="147"/>
      <c r="I90" s="147"/>
      <c r="J90" s="147"/>
      <c r="K90" s="147"/>
      <c r="L90" s="147"/>
      <c r="M90" s="147"/>
      <c r="N90" s="147"/>
      <c r="O90" s="147"/>
      <c r="P90" s="147"/>
      <c r="Q90" s="147"/>
      <c r="R90" s="550">
        <f t="shared" si="27"/>
        <v>15000</v>
      </c>
      <c r="S90" s="147">
        <f t="shared" ref="S90:S95" si="30">R90</f>
        <v>15000</v>
      </c>
      <c r="T90" s="147"/>
      <c r="U90" s="143"/>
    </row>
    <row r="91" spans="1:21" s="144" customFormat="1">
      <c r="A91" s="145" t="s">
        <v>373</v>
      </c>
      <c r="B91" s="146">
        <f t="shared" si="26"/>
        <v>50000</v>
      </c>
      <c r="C91" s="147">
        <v>50000</v>
      </c>
      <c r="D91" s="147"/>
      <c r="E91" s="147">
        <f t="shared" si="28"/>
        <v>50000</v>
      </c>
      <c r="F91" s="147"/>
      <c r="G91" s="147"/>
      <c r="H91" s="147"/>
      <c r="I91" s="147"/>
      <c r="J91" s="147"/>
      <c r="K91" s="147"/>
      <c r="L91" s="147"/>
      <c r="M91" s="147"/>
      <c r="N91" s="147"/>
      <c r="O91" s="147"/>
      <c r="P91" s="147"/>
      <c r="Q91" s="147"/>
      <c r="R91" s="550">
        <f t="shared" si="27"/>
        <v>50000</v>
      </c>
      <c r="S91" s="147">
        <f t="shared" si="30"/>
        <v>50000</v>
      </c>
      <c r="T91" s="147"/>
      <c r="U91" s="143"/>
    </row>
    <row r="92" spans="1:21" s="144" customFormat="1">
      <c r="A92" s="304" t="s">
        <v>1316</v>
      </c>
      <c r="B92" s="146">
        <f t="shared" si="26"/>
        <v>20000</v>
      </c>
      <c r="C92" s="147">
        <v>20000</v>
      </c>
      <c r="D92" s="147"/>
      <c r="E92" s="147">
        <f t="shared" si="28"/>
        <v>20000</v>
      </c>
      <c r="F92" s="147"/>
      <c r="G92" s="147"/>
      <c r="H92" s="147"/>
      <c r="I92" s="147"/>
      <c r="J92" s="147"/>
      <c r="K92" s="147"/>
      <c r="L92" s="147"/>
      <c r="M92" s="147"/>
      <c r="N92" s="147"/>
      <c r="O92" s="147"/>
      <c r="P92" s="147"/>
      <c r="Q92" s="147"/>
      <c r="R92" s="550">
        <f t="shared" si="27"/>
        <v>20000</v>
      </c>
      <c r="S92" s="147">
        <f t="shared" si="30"/>
        <v>20000</v>
      </c>
      <c r="T92" s="147"/>
      <c r="U92" s="143"/>
    </row>
    <row r="93" spans="1:21" s="144" customFormat="1" ht="34.200000000000003">
      <c r="A93" s="1193" t="s">
        <v>2768</v>
      </c>
      <c r="B93" s="146">
        <f t="shared" si="26"/>
        <v>492000</v>
      </c>
      <c r="C93" s="147">
        <f>42000+250000+200000</f>
        <v>492000</v>
      </c>
      <c r="D93" s="147"/>
      <c r="E93" s="147">
        <f t="shared" si="28"/>
        <v>492000</v>
      </c>
      <c r="F93" s="147"/>
      <c r="G93" s="147"/>
      <c r="H93" s="147"/>
      <c r="I93" s="147"/>
      <c r="J93" s="147"/>
      <c r="K93" s="147"/>
      <c r="L93" s="147"/>
      <c r="M93" s="147"/>
      <c r="N93" s="147"/>
      <c r="O93" s="147"/>
      <c r="P93" s="147"/>
      <c r="Q93" s="147"/>
      <c r="R93" s="550">
        <f t="shared" si="27"/>
        <v>492000</v>
      </c>
      <c r="S93" s="147">
        <f t="shared" si="30"/>
        <v>492000</v>
      </c>
      <c r="T93" s="147"/>
      <c r="U93" s="143"/>
    </row>
    <row r="94" spans="1:21" s="144" customFormat="1">
      <c r="A94" s="1193" t="s">
        <v>2766</v>
      </c>
      <c r="B94" s="146">
        <f t="shared" si="26"/>
        <v>61180</v>
      </c>
      <c r="C94" s="147">
        <v>61180</v>
      </c>
      <c r="D94" s="147"/>
      <c r="E94" s="147">
        <f t="shared" si="28"/>
        <v>61180</v>
      </c>
      <c r="F94" s="147"/>
      <c r="G94" s="147"/>
      <c r="H94" s="147"/>
      <c r="I94" s="147"/>
      <c r="J94" s="147"/>
      <c r="K94" s="147"/>
      <c r="L94" s="147"/>
      <c r="M94" s="147"/>
      <c r="N94" s="147"/>
      <c r="O94" s="147"/>
      <c r="P94" s="147"/>
      <c r="Q94" s="147"/>
      <c r="R94" s="550">
        <f t="shared" si="27"/>
        <v>61180</v>
      </c>
      <c r="S94" s="147"/>
      <c r="T94" s="147"/>
      <c r="U94" s="143"/>
    </row>
    <row r="95" spans="1:21" s="144" customFormat="1">
      <c r="A95" s="1193" t="s">
        <v>2767</v>
      </c>
      <c r="B95" s="146">
        <f t="shared" si="26"/>
        <v>14673</v>
      </c>
      <c r="C95" s="147">
        <v>14673</v>
      </c>
      <c r="D95" s="147"/>
      <c r="E95" s="147">
        <f t="shared" si="28"/>
        <v>14673</v>
      </c>
      <c r="F95" s="147"/>
      <c r="G95" s="147"/>
      <c r="H95" s="147"/>
      <c r="I95" s="147"/>
      <c r="J95" s="147"/>
      <c r="K95" s="147"/>
      <c r="L95" s="147"/>
      <c r="M95" s="147"/>
      <c r="N95" s="147"/>
      <c r="O95" s="147"/>
      <c r="P95" s="147"/>
      <c r="Q95" s="147"/>
      <c r="R95" s="550">
        <f t="shared" si="27"/>
        <v>14673</v>
      </c>
      <c r="S95" s="147">
        <f t="shared" si="30"/>
        <v>14673</v>
      </c>
      <c r="T95" s="147"/>
      <c r="U95" s="143"/>
    </row>
    <row r="96" spans="1:21" s="144" customFormat="1" ht="12">
      <c r="A96" s="149" t="s">
        <v>782</v>
      </c>
      <c r="B96" s="146">
        <f>SUM(C96:D96)</f>
        <v>4552116</v>
      </c>
      <c r="C96" s="146">
        <f t="shared" ref="C96:R96" si="31">SUM(C83:C95)</f>
        <v>4552116</v>
      </c>
      <c r="D96" s="146">
        <f t="shared" si="31"/>
        <v>0</v>
      </c>
      <c r="E96" s="146">
        <f t="shared" si="31"/>
        <v>4552116</v>
      </c>
      <c r="F96" s="146">
        <f t="shared" si="31"/>
        <v>0</v>
      </c>
      <c r="G96" s="146">
        <f t="shared" si="31"/>
        <v>0</v>
      </c>
      <c r="H96" s="146">
        <f t="shared" si="31"/>
        <v>0</v>
      </c>
      <c r="I96" s="146">
        <f t="shared" si="31"/>
        <v>0</v>
      </c>
      <c r="J96" s="146">
        <f t="shared" si="31"/>
        <v>0</v>
      </c>
      <c r="K96" s="146">
        <f t="shared" si="31"/>
        <v>0</v>
      </c>
      <c r="L96" s="146">
        <f t="shared" si="31"/>
        <v>0</v>
      </c>
      <c r="M96" s="146">
        <f t="shared" si="31"/>
        <v>0</v>
      </c>
      <c r="N96" s="146">
        <f t="shared" si="31"/>
        <v>0</v>
      </c>
      <c r="O96" s="146">
        <f t="shared" si="31"/>
        <v>0</v>
      </c>
      <c r="P96" s="146">
        <f t="shared" si="31"/>
        <v>0</v>
      </c>
      <c r="Q96" s="146">
        <f t="shared" si="31"/>
        <v>0</v>
      </c>
      <c r="R96" s="370">
        <f t="shared" si="31"/>
        <v>4552116</v>
      </c>
      <c r="S96" s="150">
        <f>SUM(S84:S87,S89:S95)</f>
        <v>4241673</v>
      </c>
      <c r="T96" s="146">
        <f>SUM(T84:T87,T89:T95)</f>
        <v>0</v>
      </c>
      <c r="U96" s="143"/>
    </row>
    <row r="97" spans="1:21" s="144" customFormat="1" ht="12">
      <c r="A97" s="149" t="s">
        <v>783</v>
      </c>
      <c r="B97" s="146">
        <f>SUM(C97:D97)</f>
        <v>77381349.000000015</v>
      </c>
      <c r="C97" s="146">
        <f t="shared" ref="C97:R97" si="32">SUM(C63+C70+C77+C81+C96)</f>
        <v>77381349.000000015</v>
      </c>
      <c r="D97" s="146">
        <f t="shared" si="32"/>
        <v>0</v>
      </c>
      <c r="E97" s="146">
        <f t="shared" si="32"/>
        <v>42546695</v>
      </c>
      <c r="F97" s="146">
        <f t="shared" si="32"/>
        <v>34834654</v>
      </c>
      <c r="G97" s="146">
        <f t="shared" si="32"/>
        <v>0</v>
      </c>
      <c r="H97" s="146">
        <f t="shared" si="32"/>
        <v>0</v>
      </c>
      <c r="I97" s="146">
        <f t="shared" si="32"/>
        <v>0</v>
      </c>
      <c r="J97" s="146">
        <f t="shared" si="32"/>
        <v>0</v>
      </c>
      <c r="K97" s="146">
        <f t="shared" si="32"/>
        <v>0</v>
      </c>
      <c r="L97" s="146">
        <f t="shared" si="32"/>
        <v>0</v>
      </c>
      <c r="M97" s="146">
        <f t="shared" si="32"/>
        <v>0</v>
      </c>
      <c r="N97" s="146">
        <f t="shared" si="32"/>
        <v>0</v>
      </c>
      <c r="O97" s="146">
        <f t="shared" si="32"/>
        <v>0</v>
      </c>
      <c r="P97" s="146">
        <f t="shared" si="32"/>
        <v>0</v>
      </c>
      <c r="Q97" s="146">
        <f t="shared" si="32"/>
        <v>0</v>
      </c>
      <c r="R97" s="146">
        <f t="shared" si="32"/>
        <v>77381349.000000015</v>
      </c>
      <c r="S97" s="146">
        <f>SUM(S63+S70+S81+S96)</f>
        <v>65155815.600000001</v>
      </c>
      <c r="T97" s="146">
        <f>SUM(T63+T70+T81+T96)</f>
        <v>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9773372</v>
      </c>
      <c r="C99" s="1014">
        <v>9773372</v>
      </c>
      <c r="D99" s="1014"/>
      <c r="E99" s="1014">
        <f>C99-G99</f>
        <v>3924247</v>
      </c>
      <c r="F99" s="147"/>
      <c r="G99" s="147">
        <v>5849125</v>
      </c>
      <c r="H99" s="147"/>
      <c r="I99" s="147"/>
      <c r="J99" s="147"/>
      <c r="K99" s="147"/>
      <c r="L99" s="147"/>
      <c r="M99" s="147"/>
      <c r="N99" s="147"/>
      <c r="O99" s="147"/>
      <c r="P99" s="147"/>
      <c r="Q99" s="147"/>
      <c r="R99" s="550">
        <f>SUM(E99:Q99)</f>
        <v>9773372</v>
      </c>
      <c r="S99" s="147">
        <f>R99</f>
        <v>9773372</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787</v>
      </c>
      <c r="B104" s="146">
        <f>SUM(C104:D104)</f>
        <v>9773372</v>
      </c>
      <c r="C104" s="146">
        <f>SUM(C99:C103)</f>
        <v>9773372</v>
      </c>
      <c r="D104" s="146">
        <f t="shared" ref="D104:T104" si="33">SUM(D99:D103)</f>
        <v>0</v>
      </c>
      <c r="E104" s="146">
        <f t="shared" si="33"/>
        <v>3924247</v>
      </c>
      <c r="F104" s="146">
        <f t="shared" si="33"/>
        <v>0</v>
      </c>
      <c r="G104" s="146">
        <f t="shared" si="33"/>
        <v>5849125</v>
      </c>
      <c r="H104" s="146">
        <f t="shared" si="33"/>
        <v>0</v>
      </c>
      <c r="I104" s="146">
        <f t="shared" si="33"/>
        <v>0</v>
      </c>
      <c r="J104" s="146">
        <f t="shared" si="33"/>
        <v>0</v>
      </c>
      <c r="K104" s="146">
        <f t="shared" si="33"/>
        <v>0</v>
      </c>
      <c r="L104" s="146">
        <f t="shared" si="33"/>
        <v>0</v>
      </c>
      <c r="M104" s="146">
        <f t="shared" si="33"/>
        <v>0</v>
      </c>
      <c r="N104" s="146">
        <f t="shared" si="33"/>
        <v>0</v>
      </c>
      <c r="O104" s="146">
        <f t="shared" si="33"/>
        <v>0</v>
      </c>
      <c r="P104" s="146">
        <f t="shared" si="33"/>
        <v>0</v>
      </c>
      <c r="Q104" s="146">
        <f t="shared" si="33"/>
        <v>0</v>
      </c>
      <c r="R104" s="370">
        <f t="shared" si="33"/>
        <v>9773372</v>
      </c>
      <c r="S104" s="150">
        <f t="shared" si="33"/>
        <v>9773372</v>
      </c>
      <c r="T104" s="150">
        <f t="shared" si="33"/>
        <v>0</v>
      </c>
      <c r="U104" s="143"/>
    </row>
    <row r="105" spans="1:21" s="144" customFormat="1" ht="12">
      <c r="A105" s="149" t="s">
        <v>788</v>
      </c>
      <c r="B105" s="150">
        <f>SUM(C105:D105)</f>
        <v>87154721.000000015</v>
      </c>
      <c r="C105" s="150">
        <f t="shared" ref="C105:R105" si="34">SUM(C97+C104)</f>
        <v>87154721.000000015</v>
      </c>
      <c r="D105" s="150">
        <f t="shared" si="34"/>
        <v>0</v>
      </c>
      <c r="E105" s="150">
        <f t="shared" si="34"/>
        <v>46470942</v>
      </c>
      <c r="F105" s="150">
        <f t="shared" si="34"/>
        <v>34834654</v>
      </c>
      <c r="G105" s="150">
        <f t="shared" si="34"/>
        <v>5849125</v>
      </c>
      <c r="H105" s="150">
        <f t="shared" si="34"/>
        <v>0</v>
      </c>
      <c r="I105" s="150">
        <f t="shared" si="34"/>
        <v>0</v>
      </c>
      <c r="J105" s="150">
        <f t="shared" si="34"/>
        <v>0</v>
      </c>
      <c r="K105" s="150">
        <f t="shared" si="34"/>
        <v>0</v>
      </c>
      <c r="L105" s="150">
        <f t="shared" si="34"/>
        <v>0</v>
      </c>
      <c r="M105" s="150">
        <f t="shared" si="34"/>
        <v>0</v>
      </c>
      <c r="N105" s="150">
        <f t="shared" si="34"/>
        <v>0</v>
      </c>
      <c r="O105" s="150">
        <f t="shared" si="34"/>
        <v>0</v>
      </c>
      <c r="P105" s="150">
        <f t="shared" si="34"/>
        <v>0</v>
      </c>
      <c r="Q105" s="150">
        <f t="shared" si="34"/>
        <v>0</v>
      </c>
      <c r="R105" s="370">
        <f t="shared" si="34"/>
        <v>87154721.000000015</v>
      </c>
      <c r="S105" s="150">
        <f>S97+S104</f>
        <v>74929187.599999994</v>
      </c>
      <c r="T105" s="150">
        <f>T97+T104</f>
        <v>0</v>
      </c>
      <c r="U105" s="143"/>
    </row>
    <row r="106" spans="1:21" ht="12">
      <c r="A106" s="548" t="s">
        <v>1043</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74929187.599999994</v>
      </c>
      <c r="T107" s="150">
        <f>T105+T106</f>
        <v>0</v>
      </c>
    </row>
    <row r="108" spans="1:21" s="201" customFormat="1" ht="12">
      <c r="A108" s="162" t="s">
        <v>890</v>
      </c>
      <c r="B108" s="157"/>
      <c r="C108" s="157"/>
      <c r="D108" s="157"/>
      <c r="E108" s="323">
        <f>Application!AO640</f>
        <v>46470942</v>
      </c>
      <c r="F108" s="323">
        <f>Application!AO627</f>
        <v>34834654</v>
      </c>
      <c r="G108" s="323">
        <f>Application!AO628</f>
        <v>5849125</v>
      </c>
      <c r="H108" s="323">
        <f>Application!AO629</f>
        <v>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976</v>
      </c>
      <c r="B110" s="157"/>
      <c r="C110" s="157"/>
      <c r="D110" s="157"/>
    </row>
    <row r="111" spans="1:21" ht="12">
      <c r="A111" s="156" t="s">
        <v>977</v>
      </c>
      <c r="B111" s="157"/>
      <c r="C111" s="157"/>
      <c r="D111" s="157"/>
    </row>
    <row r="112" spans="1:21" ht="12" customHeight="1">
      <c r="A112" s="336"/>
      <c r="B112" s="157"/>
      <c r="C112" s="157"/>
      <c r="D112" s="157"/>
    </row>
    <row r="113" spans="1:21" ht="12">
      <c r="A113" s="156" t="s">
        <v>1042</v>
      </c>
      <c r="B113" s="157"/>
      <c r="C113" s="157"/>
      <c r="D113" s="157"/>
    </row>
    <row r="114" spans="1:21" ht="12">
      <c r="A114" s="156" t="s">
        <v>2406</v>
      </c>
      <c r="B114" s="157"/>
      <c r="C114" s="157"/>
      <c r="D114" s="157"/>
    </row>
    <row r="115" spans="1:21" ht="12" customHeight="1">
      <c r="A115" s="336"/>
      <c r="B115" s="157"/>
      <c r="C115" s="157"/>
      <c r="D115" s="157"/>
    </row>
    <row r="116" spans="1:21" ht="12">
      <c r="A116" s="373" t="s">
        <v>1045</v>
      </c>
      <c r="B116" s="157"/>
      <c r="C116" s="157"/>
      <c r="D116" s="157"/>
    </row>
    <row r="117" spans="1:21" ht="12">
      <c r="A117" s="373" t="s">
        <v>1329</v>
      </c>
      <c r="B117" s="157"/>
      <c r="C117" s="157"/>
      <c r="D117" s="157"/>
    </row>
    <row r="118" spans="1:21" ht="12">
      <c r="A118" s="373" t="s">
        <v>1044</v>
      </c>
      <c r="B118" s="157"/>
      <c r="C118" s="157"/>
      <c r="D118" s="157"/>
    </row>
    <row r="119" spans="1:21" ht="12">
      <c r="A119" s="373" t="s">
        <v>1046</v>
      </c>
      <c r="B119" s="157"/>
      <c r="C119" s="157"/>
      <c r="D119" s="157"/>
    </row>
    <row r="120" spans="1:21" ht="12" customHeight="1">
      <c r="A120" s="372"/>
      <c r="B120" s="157"/>
      <c r="C120" s="157"/>
      <c r="D120" s="157"/>
    </row>
    <row r="121" spans="1:21" ht="15.6">
      <c r="A121" s="366" t="s">
        <v>1028</v>
      </c>
      <c r="B121" s="157"/>
      <c r="C121" s="157"/>
      <c r="D121" s="157"/>
    </row>
    <row r="122" spans="1:21">
      <c r="A122" s="353" t="s">
        <v>1012</v>
      </c>
      <c r="B122" s="352"/>
      <c r="C122" s="352"/>
      <c r="D122" s="1905" t="s">
        <v>1013</v>
      </c>
      <c r="E122" s="1905"/>
      <c r="F122" s="1905"/>
      <c r="G122" s="352"/>
      <c r="H122" s="352"/>
      <c r="I122" s="352"/>
      <c r="J122" s="352"/>
      <c r="K122" s="352"/>
      <c r="L122" s="352"/>
      <c r="M122" s="352"/>
      <c r="N122" s="352"/>
      <c r="O122" s="352"/>
      <c r="P122" s="352"/>
      <c r="Q122" s="352"/>
      <c r="R122" s="352"/>
      <c r="S122" s="352"/>
      <c r="T122" s="352"/>
      <c r="U122" s="354"/>
    </row>
    <row r="123" spans="1:21">
      <c r="A123" s="352" t="s">
        <v>1014</v>
      </c>
      <c r="B123" s="361"/>
      <c r="C123" s="352"/>
      <c r="D123" s="1907" t="s">
        <v>1330</v>
      </c>
      <c r="E123" s="1844"/>
      <c r="F123" s="1844"/>
      <c r="G123" s="1844"/>
      <c r="H123" s="1844"/>
      <c r="I123" s="1844"/>
      <c r="J123" s="1844"/>
      <c r="K123" s="1844"/>
      <c r="L123" s="1844"/>
      <c r="M123" s="1844"/>
      <c r="N123" s="1844"/>
      <c r="O123" s="1844"/>
      <c r="P123" s="1844"/>
      <c r="Q123" s="1844"/>
      <c r="R123" s="1844"/>
      <c r="S123" s="1844"/>
      <c r="T123" s="352"/>
      <c r="U123" s="354"/>
    </row>
    <row r="124" spans="1:21" ht="13.2">
      <c r="A124" s="117" t="s">
        <v>1015</v>
      </c>
      <c r="B124" s="361"/>
      <c r="C124" s="117"/>
      <c r="D124" s="1844"/>
      <c r="E124" s="1844"/>
      <c r="F124" s="1844"/>
      <c r="G124" s="1844"/>
      <c r="H124" s="1844"/>
      <c r="I124" s="1844"/>
      <c r="J124" s="1844"/>
      <c r="K124" s="1844"/>
      <c r="L124" s="1844"/>
      <c r="M124" s="1844"/>
      <c r="N124" s="1844"/>
      <c r="O124" s="1844"/>
      <c r="P124" s="1844"/>
      <c r="Q124" s="1844"/>
      <c r="R124" s="1844"/>
      <c r="S124" s="1844"/>
      <c r="T124" s="352"/>
      <c r="U124" s="354"/>
    </row>
    <row r="125" spans="1:21" ht="13.2">
      <c r="A125" s="117" t="s">
        <v>1016</v>
      </c>
      <c r="B125" s="361"/>
      <c r="C125" s="117"/>
      <c r="D125" s="1844"/>
      <c r="E125" s="1844"/>
      <c r="F125" s="1844"/>
      <c r="G125" s="1844"/>
      <c r="H125" s="1844"/>
      <c r="I125" s="1844"/>
      <c r="J125" s="1844"/>
      <c r="K125" s="1844"/>
      <c r="L125" s="1844"/>
      <c r="M125" s="1844"/>
      <c r="N125" s="1844"/>
      <c r="O125" s="1844"/>
      <c r="P125" s="1844"/>
      <c r="Q125" s="1844"/>
      <c r="R125" s="1844"/>
      <c r="S125" s="1844"/>
      <c r="T125" s="352"/>
      <c r="U125" s="354"/>
    </row>
    <row r="126" spans="1:21" ht="13.2">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1019</v>
      </c>
      <c r="B128" s="361"/>
      <c r="C128" s="117"/>
      <c r="D128" s="1902"/>
      <c r="E128" s="1902"/>
      <c r="F128" s="1902"/>
      <c r="G128" s="1902"/>
      <c r="H128" s="1902"/>
      <c r="I128" s="117"/>
      <c r="J128" s="1903"/>
      <c r="K128" s="1903"/>
      <c r="L128" s="117"/>
      <c r="M128" s="117"/>
      <c r="N128" s="117"/>
      <c r="O128" s="117"/>
      <c r="P128" s="117"/>
      <c r="Q128" s="117"/>
      <c r="R128" s="117"/>
      <c r="S128" s="117"/>
      <c r="T128" s="352"/>
      <c r="U128" s="354"/>
    </row>
    <row r="129" spans="1:21" ht="13.2">
      <c r="A129" s="117" t="s">
        <v>301</v>
      </c>
      <c r="B129" s="361"/>
      <c r="C129" s="117"/>
      <c r="D129" s="1904" t="s">
        <v>1020</v>
      </c>
      <c r="E129" s="1904"/>
      <c r="F129" s="1904"/>
      <c r="G129" s="1904"/>
      <c r="H129" s="1904"/>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1022</v>
      </c>
      <c r="B131" s="362">
        <f>SUM(B123:B129)</f>
        <v>0</v>
      </c>
      <c r="C131" s="117"/>
      <c r="D131" s="1875"/>
      <c r="E131" s="1875"/>
      <c r="F131" s="1875"/>
      <c r="G131" s="1875"/>
      <c r="H131" s="1875"/>
      <c r="I131" s="117"/>
      <c r="J131" s="1875"/>
      <c r="K131" s="1875"/>
      <c r="L131" s="1875"/>
      <c r="M131" s="1875"/>
      <c r="N131" s="117"/>
      <c r="O131" s="117"/>
      <c r="P131" s="117"/>
      <c r="Q131" s="117"/>
      <c r="R131" s="117"/>
      <c r="S131" s="117"/>
      <c r="T131" s="352"/>
      <c r="U131" s="354"/>
    </row>
    <row r="132" spans="1:21" ht="12" customHeight="1">
      <c r="A132" s="364"/>
      <c r="B132" s="117"/>
      <c r="C132" s="117"/>
      <c r="D132" s="1908" t="s">
        <v>1023</v>
      </c>
      <c r="E132" s="1908"/>
      <c r="F132" s="1908"/>
      <c r="G132" s="1908"/>
      <c r="H132" s="1908"/>
      <c r="I132" s="117"/>
      <c r="J132" s="1908" t="s">
        <v>1024</v>
      </c>
      <c r="K132" s="1908"/>
      <c r="L132" s="1908"/>
      <c r="M132" s="190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909"/>
      <c r="B138" s="1902"/>
      <c r="C138" s="1902"/>
      <c r="D138" s="356"/>
      <c r="E138" s="1903"/>
      <c r="F138" s="1903"/>
      <c r="G138" s="117"/>
      <c r="H138" s="117"/>
      <c r="I138" s="117"/>
      <c r="J138" s="117"/>
      <c r="K138" s="117"/>
      <c r="L138" s="117"/>
      <c r="M138" s="117"/>
      <c r="N138" s="117"/>
      <c r="O138" s="117"/>
      <c r="P138" s="117"/>
      <c r="Q138" s="117"/>
      <c r="R138" s="117"/>
      <c r="S138" s="117"/>
      <c r="T138" s="358"/>
      <c r="U138" s="359"/>
    </row>
    <row r="139" spans="1:21" ht="13.2">
      <c r="A139" s="1906" t="s">
        <v>1027</v>
      </c>
      <c r="B139" s="1906"/>
      <c r="C139" s="1906"/>
      <c r="D139" s="356"/>
      <c r="E139" s="117" t="s">
        <v>1021</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2" workbookViewId="0">
      <selection activeCell="E114" sqref="E114"/>
    </sheetView>
  </sheetViews>
  <sheetFormatPr defaultColWidth="0" defaultRowHeight="12" zeroHeight="1"/>
  <cols>
    <col min="1" max="1" width="32.6640625" style="428" customWidth="1"/>
    <col min="2" max="3" width="12.109375" style="424" customWidth="1"/>
    <col min="4" max="6" width="12.77734375" style="424" customWidth="1"/>
    <col min="7" max="9" width="12.109375" style="424" customWidth="1"/>
    <col min="10" max="10" width="12.109375" style="425" customWidth="1"/>
    <col min="11" max="11" width="8.77734375" style="426" hidden="1" customWidth="1"/>
    <col min="12" max="21" width="8.77734375" style="424" hidden="1" customWidth="1"/>
    <col min="22" max="23" width="0" style="424" hidden="1"/>
    <col min="24" max="256" width="8.77734375" style="424" hidden="1"/>
    <col min="257" max="257" width="32.6640625" style="424" hidden="1" customWidth="1"/>
    <col min="258" max="259" width="12.109375" style="424" hidden="1" customWidth="1"/>
    <col min="260" max="260" width="12.77734375" style="424" hidden="1" customWidth="1"/>
    <col min="261" max="266" width="12.109375" style="424" hidden="1" customWidth="1"/>
    <col min="267" max="277" width="8.77734375" style="424" hidden="1" customWidth="1"/>
    <col min="278" max="512" width="8.77734375" style="424" hidden="1"/>
    <col min="513" max="513" width="32.6640625" style="424" hidden="1" customWidth="1"/>
    <col min="514" max="515" width="12.109375" style="424" hidden="1" customWidth="1"/>
    <col min="516" max="516" width="12.77734375" style="424" hidden="1" customWidth="1"/>
    <col min="517" max="522" width="12.109375" style="424" hidden="1" customWidth="1"/>
    <col min="523" max="533" width="8.77734375" style="424" hidden="1" customWidth="1"/>
    <col min="534" max="768" width="8.77734375" style="424" hidden="1"/>
    <col min="769" max="769" width="32.6640625" style="424" hidden="1" customWidth="1"/>
    <col min="770" max="771" width="12.109375" style="424" hidden="1" customWidth="1"/>
    <col min="772" max="772" width="12.77734375" style="424" hidden="1" customWidth="1"/>
    <col min="773" max="778" width="12.109375" style="424" hidden="1" customWidth="1"/>
    <col min="779" max="789" width="8.77734375" style="424" hidden="1" customWidth="1"/>
    <col min="790" max="1024" width="8.77734375" style="424" hidden="1"/>
    <col min="1025" max="1025" width="32.6640625" style="424" hidden="1" customWidth="1"/>
    <col min="1026" max="1027" width="12.109375" style="424" hidden="1" customWidth="1"/>
    <col min="1028" max="1028" width="12.77734375" style="424" hidden="1" customWidth="1"/>
    <col min="1029" max="1034" width="12.109375" style="424" hidden="1" customWidth="1"/>
    <col min="1035" max="1045" width="8.77734375" style="424" hidden="1" customWidth="1"/>
    <col min="1046" max="1280" width="8.77734375" style="424" hidden="1"/>
    <col min="1281" max="1281" width="32.6640625" style="424" hidden="1" customWidth="1"/>
    <col min="1282" max="1283" width="12.109375" style="424" hidden="1" customWidth="1"/>
    <col min="1284" max="1284" width="12.77734375" style="424" hidden="1" customWidth="1"/>
    <col min="1285" max="1290" width="12.109375" style="424" hidden="1" customWidth="1"/>
    <col min="1291" max="1301" width="8.77734375" style="424" hidden="1" customWidth="1"/>
    <col min="1302" max="1536" width="8.77734375" style="424" hidden="1"/>
    <col min="1537" max="1537" width="32.6640625" style="424" hidden="1" customWidth="1"/>
    <col min="1538" max="1539" width="12.109375" style="424" hidden="1" customWidth="1"/>
    <col min="1540" max="1540" width="12.77734375" style="424" hidden="1" customWidth="1"/>
    <col min="1541" max="1546" width="12.109375" style="424" hidden="1" customWidth="1"/>
    <col min="1547" max="1557" width="8.77734375" style="424" hidden="1" customWidth="1"/>
    <col min="1558" max="1792" width="8.77734375" style="424" hidden="1"/>
    <col min="1793" max="1793" width="32.6640625" style="424" hidden="1" customWidth="1"/>
    <col min="1794" max="1795" width="12.109375" style="424" hidden="1" customWidth="1"/>
    <col min="1796" max="1796" width="12.77734375" style="424" hidden="1" customWidth="1"/>
    <col min="1797" max="1802" width="12.109375" style="424" hidden="1" customWidth="1"/>
    <col min="1803" max="1813" width="8.77734375" style="424" hidden="1" customWidth="1"/>
    <col min="1814" max="2048" width="8.77734375" style="424" hidden="1"/>
    <col min="2049" max="2049" width="32.6640625" style="424" hidden="1" customWidth="1"/>
    <col min="2050" max="2051" width="12.109375" style="424" hidden="1" customWidth="1"/>
    <col min="2052" max="2052" width="12.77734375" style="424" hidden="1" customWidth="1"/>
    <col min="2053" max="2058" width="12.109375" style="424" hidden="1" customWidth="1"/>
    <col min="2059" max="2069" width="8.77734375" style="424" hidden="1" customWidth="1"/>
    <col min="2070" max="2304" width="8.77734375" style="424" hidden="1"/>
    <col min="2305" max="2305" width="32.6640625" style="424" hidden="1" customWidth="1"/>
    <col min="2306" max="2307" width="12.109375" style="424" hidden="1" customWidth="1"/>
    <col min="2308" max="2308" width="12.77734375" style="424" hidden="1" customWidth="1"/>
    <col min="2309" max="2314" width="12.109375" style="424" hidden="1" customWidth="1"/>
    <col min="2315" max="2325" width="8.77734375" style="424" hidden="1" customWidth="1"/>
    <col min="2326" max="2560" width="8.77734375" style="424" hidden="1"/>
    <col min="2561" max="2561" width="32.6640625" style="424" hidden="1" customWidth="1"/>
    <col min="2562" max="2563" width="12.109375" style="424" hidden="1" customWidth="1"/>
    <col min="2564" max="2564" width="12.77734375" style="424" hidden="1" customWidth="1"/>
    <col min="2565" max="2570" width="12.109375" style="424" hidden="1" customWidth="1"/>
    <col min="2571" max="2581" width="8.77734375" style="424" hidden="1" customWidth="1"/>
    <col min="2582" max="2816" width="8.77734375" style="424" hidden="1"/>
    <col min="2817" max="2817" width="32.6640625" style="424" hidden="1" customWidth="1"/>
    <col min="2818" max="2819" width="12.109375" style="424" hidden="1" customWidth="1"/>
    <col min="2820" max="2820" width="12.77734375" style="424" hidden="1" customWidth="1"/>
    <col min="2821" max="2826" width="12.109375" style="424" hidden="1" customWidth="1"/>
    <col min="2827" max="2837" width="8.77734375" style="424" hidden="1" customWidth="1"/>
    <col min="2838" max="3072" width="8.77734375" style="424" hidden="1"/>
    <col min="3073" max="3073" width="32.6640625" style="424" hidden="1" customWidth="1"/>
    <col min="3074" max="3075" width="12.109375" style="424" hidden="1" customWidth="1"/>
    <col min="3076" max="3076" width="12.77734375" style="424" hidden="1" customWidth="1"/>
    <col min="3077" max="3082" width="12.109375" style="424" hidden="1" customWidth="1"/>
    <col min="3083" max="3093" width="8.77734375" style="424" hidden="1" customWidth="1"/>
    <col min="3094" max="3328" width="8.77734375" style="424" hidden="1"/>
    <col min="3329" max="3329" width="32.6640625" style="424" hidden="1" customWidth="1"/>
    <col min="3330" max="3331" width="12.109375" style="424" hidden="1" customWidth="1"/>
    <col min="3332" max="3332" width="12.77734375" style="424" hidden="1" customWidth="1"/>
    <col min="3333" max="3338" width="12.109375" style="424" hidden="1" customWidth="1"/>
    <col min="3339" max="3349" width="8.77734375" style="424" hidden="1" customWidth="1"/>
    <col min="3350" max="3584" width="8.77734375" style="424" hidden="1"/>
    <col min="3585" max="3585" width="32.6640625" style="424" hidden="1" customWidth="1"/>
    <col min="3586" max="3587" width="12.109375" style="424" hidden="1" customWidth="1"/>
    <col min="3588" max="3588" width="12.77734375" style="424" hidden="1" customWidth="1"/>
    <col min="3589" max="3594" width="12.109375" style="424" hidden="1" customWidth="1"/>
    <col min="3595" max="3605" width="8.77734375" style="424" hidden="1" customWidth="1"/>
    <col min="3606" max="3840" width="8.77734375" style="424" hidden="1"/>
    <col min="3841" max="3841" width="32.6640625" style="424" hidden="1" customWidth="1"/>
    <col min="3842" max="3843" width="12.109375" style="424" hidden="1" customWidth="1"/>
    <col min="3844" max="3844" width="12.77734375" style="424" hidden="1" customWidth="1"/>
    <col min="3845" max="3850" width="12.109375" style="424" hidden="1" customWidth="1"/>
    <col min="3851" max="3861" width="8.77734375" style="424" hidden="1" customWidth="1"/>
    <col min="3862" max="4096" width="8.77734375" style="424" hidden="1"/>
    <col min="4097" max="4097" width="32.6640625" style="424" hidden="1" customWidth="1"/>
    <col min="4098" max="4099" width="12.109375" style="424" hidden="1" customWidth="1"/>
    <col min="4100" max="4100" width="12.77734375" style="424" hidden="1" customWidth="1"/>
    <col min="4101" max="4106" width="12.109375" style="424" hidden="1" customWidth="1"/>
    <col min="4107" max="4117" width="8.77734375" style="424" hidden="1" customWidth="1"/>
    <col min="4118" max="4352" width="8.77734375" style="424" hidden="1"/>
    <col min="4353" max="4353" width="32.6640625" style="424" hidden="1" customWidth="1"/>
    <col min="4354" max="4355" width="12.109375" style="424" hidden="1" customWidth="1"/>
    <col min="4356" max="4356" width="12.77734375" style="424" hidden="1" customWidth="1"/>
    <col min="4357" max="4362" width="12.109375" style="424" hidden="1" customWidth="1"/>
    <col min="4363" max="4373" width="8.77734375" style="424" hidden="1" customWidth="1"/>
    <col min="4374" max="4608" width="8.77734375" style="424" hidden="1"/>
    <col min="4609" max="4609" width="32.6640625" style="424" hidden="1" customWidth="1"/>
    <col min="4610" max="4611" width="12.109375" style="424" hidden="1" customWidth="1"/>
    <col min="4612" max="4612" width="12.77734375" style="424" hidden="1" customWidth="1"/>
    <col min="4613" max="4618" width="12.109375" style="424" hidden="1" customWidth="1"/>
    <col min="4619" max="4629" width="8.77734375" style="424" hidden="1" customWidth="1"/>
    <col min="4630" max="4864" width="8.77734375" style="424" hidden="1"/>
    <col min="4865" max="4865" width="32.6640625" style="424" hidden="1" customWidth="1"/>
    <col min="4866" max="4867" width="12.109375" style="424" hidden="1" customWidth="1"/>
    <col min="4868" max="4868" width="12.77734375" style="424" hidden="1" customWidth="1"/>
    <col min="4869" max="4874" width="12.109375" style="424" hidden="1" customWidth="1"/>
    <col min="4875" max="4885" width="8.77734375" style="424" hidden="1" customWidth="1"/>
    <col min="4886" max="5120" width="8.77734375" style="424" hidden="1"/>
    <col min="5121" max="5121" width="32.6640625" style="424" hidden="1" customWidth="1"/>
    <col min="5122" max="5123" width="12.109375" style="424" hidden="1" customWidth="1"/>
    <col min="5124" max="5124" width="12.77734375" style="424" hidden="1" customWidth="1"/>
    <col min="5125" max="5130" width="12.109375" style="424" hidden="1" customWidth="1"/>
    <col min="5131" max="5141" width="8.77734375" style="424" hidden="1" customWidth="1"/>
    <col min="5142" max="5376" width="8.77734375" style="424" hidden="1"/>
    <col min="5377" max="5377" width="32.6640625" style="424" hidden="1" customWidth="1"/>
    <col min="5378" max="5379" width="12.109375" style="424" hidden="1" customWidth="1"/>
    <col min="5380" max="5380" width="12.77734375" style="424" hidden="1" customWidth="1"/>
    <col min="5381" max="5386" width="12.109375" style="424" hidden="1" customWidth="1"/>
    <col min="5387" max="5397" width="8.77734375" style="424" hidden="1" customWidth="1"/>
    <col min="5398" max="5632" width="8.77734375" style="424" hidden="1"/>
    <col min="5633" max="5633" width="32.6640625" style="424" hidden="1" customWidth="1"/>
    <col min="5634" max="5635" width="12.109375" style="424" hidden="1" customWidth="1"/>
    <col min="5636" max="5636" width="12.77734375" style="424" hidden="1" customWidth="1"/>
    <col min="5637" max="5642" width="12.109375" style="424" hidden="1" customWidth="1"/>
    <col min="5643" max="5653" width="8.77734375" style="424" hidden="1" customWidth="1"/>
    <col min="5654" max="5888" width="8.77734375" style="424" hidden="1"/>
    <col min="5889" max="5889" width="32.6640625" style="424" hidden="1" customWidth="1"/>
    <col min="5890" max="5891" width="12.109375" style="424" hidden="1" customWidth="1"/>
    <col min="5892" max="5892" width="12.77734375" style="424" hidden="1" customWidth="1"/>
    <col min="5893" max="5898" width="12.109375" style="424" hidden="1" customWidth="1"/>
    <col min="5899" max="5909" width="8.77734375" style="424" hidden="1" customWidth="1"/>
    <col min="5910" max="6144" width="8.77734375" style="424" hidden="1"/>
    <col min="6145" max="6145" width="32.6640625" style="424" hidden="1" customWidth="1"/>
    <col min="6146" max="6147" width="12.109375" style="424" hidden="1" customWidth="1"/>
    <col min="6148" max="6148" width="12.77734375" style="424" hidden="1" customWidth="1"/>
    <col min="6149" max="6154" width="12.109375" style="424" hidden="1" customWidth="1"/>
    <col min="6155" max="6165" width="8.77734375" style="424" hidden="1" customWidth="1"/>
    <col min="6166" max="6400" width="8.77734375" style="424" hidden="1"/>
    <col min="6401" max="6401" width="32.6640625" style="424" hidden="1" customWidth="1"/>
    <col min="6402" max="6403" width="12.109375" style="424" hidden="1" customWidth="1"/>
    <col min="6404" max="6404" width="12.77734375" style="424" hidden="1" customWidth="1"/>
    <col min="6405" max="6410" width="12.109375" style="424" hidden="1" customWidth="1"/>
    <col min="6411" max="6421" width="8.77734375" style="424" hidden="1" customWidth="1"/>
    <col min="6422" max="6656" width="8.77734375" style="424" hidden="1"/>
    <col min="6657" max="6657" width="32.6640625" style="424" hidden="1" customWidth="1"/>
    <col min="6658" max="6659" width="12.109375" style="424" hidden="1" customWidth="1"/>
    <col min="6660" max="6660" width="12.77734375" style="424" hidden="1" customWidth="1"/>
    <col min="6661" max="6666" width="12.109375" style="424" hidden="1" customWidth="1"/>
    <col min="6667" max="6677" width="8.77734375" style="424" hidden="1" customWidth="1"/>
    <col min="6678" max="6912" width="8.77734375" style="424" hidden="1"/>
    <col min="6913" max="6913" width="32.6640625" style="424" hidden="1" customWidth="1"/>
    <col min="6914" max="6915" width="12.109375" style="424" hidden="1" customWidth="1"/>
    <col min="6916" max="6916" width="12.77734375" style="424" hidden="1" customWidth="1"/>
    <col min="6917" max="6922" width="12.109375" style="424" hidden="1" customWidth="1"/>
    <col min="6923" max="6933" width="8.77734375" style="424" hidden="1" customWidth="1"/>
    <col min="6934" max="7168" width="8.77734375" style="424" hidden="1"/>
    <col min="7169" max="7169" width="32.6640625" style="424" hidden="1" customWidth="1"/>
    <col min="7170" max="7171" width="12.109375" style="424" hidden="1" customWidth="1"/>
    <col min="7172" max="7172" width="12.77734375" style="424" hidden="1" customWidth="1"/>
    <col min="7173" max="7178" width="12.109375" style="424" hidden="1" customWidth="1"/>
    <col min="7179" max="7189" width="8.77734375" style="424" hidden="1" customWidth="1"/>
    <col min="7190" max="7424" width="8.77734375" style="424" hidden="1"/>
    <col min="7425" max="7425" width="32.6640625" style="424" hidden="1" customWidth="1"/>
    <col min="7426" max="7427" width="12.109375" style="424" hidden="1" customWidth="1"/>
    <col min="7428" max="7428" width="12.77734375" style="424" hidden="1" customWidth="1"/>
    <col min="7429" max="7434" width="12.109375" style="424" hidden="1" customWidth="1"/>
    <col min="7435" max="7445" width="8.77734375" style="424" hidden="1" customWidth="1"/>
    <col min="7446" max="7680" width="8.77734375" style="424" hidden="1"/>
    <col min="7681" max="7681" width="32.6640625" style="424" hidden="1" customWidth="1"/>
    <col min="7682" max="7683" width="12.109375" style="424" hidden="1" customWidth="1"/>
    <col min="7684" max="7684" width="12.77734375" style="424" hidden="1" customWidth="1"/>
    <col min="7685" max="7690" width="12.109375" style="424" hidden="1" customWidth="1"/>
    <col min="7691" max="7701" width="8.77734375" style="424" hidden="1" customWidth="1"/>
    <col min="7702" max="7936" width="8.77734375" style="424" hidden="1"/>
    <col min="7937" max="7937" width="32.6640625" style="424" hidden="1" customWidth="1"/>
    <col min="7938" max="7939" width="12.109375" style="424" hidden="1" customWidth="1"/>
    <col min="7940" max="7940" width="12.77734375" style="424" hidden="1" customWidth="1"/>
    <col min="7941" max="7946" width="12.109375" style="424" hidden="1" customWidth="1"/>
    <col min="7947" max="7957" width="8.77734375" style="424" hidden="1" customWidth="1"/>
    <col min="7958" max="8192" width="8.77734375" style="424" hidden="1"/>
    <col min="8193" max="8193" width="32.6640625" style="424" hidden="1" customWidth="1"/>
    <col min="8194" max="8195" width="12.109375" style="424" hidden="1" customWidth="1"/>
    <col min="8196" max="8196" width="12.77734375" style="424" hidden="1" customWidth="1"/>
    <col min="8197" max="8202" width="12.109375" style="424" hidden="1" customWidth="1"/>
    <col min="8203" max="8213" width="8.77734375" style="424" hidden="1" customWidth="1"/>
    <col min="8214" max="8448" width="8.77734375" style="424" hidden="1"/>
    <col min="8449" max="8449" width="32.6640625" style="424" hidden="1" customWidth="1"/>
    <col min="8450" max="8451" width="12.109375" style="424" hidden="1" customWidth="1"/>
    <col min="8452" max="8452" width="12.77734375" style="424" hidden="1" customWidth="1"/>
    <col min="8453" max="8458" width="12.109375" style="424" hidden="1" customWidth="1"/>
    <col min="8459" max="8469" width="8.77734375" style="424" hidden="1" customWidth="1"/>
    <col min="8470" max="8704" width="8.77734375" style="424" hidden="1"/>
    <col min="8705" max="8705" width="32.6640625" style="424" hidden="1" customWidth="1"/>
    <col min="8706" max="8707" width="12.109375" style="424" hidden="1" customWidth="1"/>
    <col min="8708" max="8708" width="12.77734375" style="424" hidden="1" customWidth="1"/>
    <col min="8709" max="8714" width="12.109375" style="424" hidden="1" customWidth="1"/>
    <col min="8715" max="8725" width="8.77734375" style="424" hidden="1" customWidth="1"/>
    <col min="8726" max="8960" width="8.77734375" style="424" hidden="1"/>
    <col min="8961" max="8961" width="32.6640625" style="424" hidden="1" customWidth="1"/>
    <col min="8962" max="8963" width="12.109375" style="424" hidden="1" customWidth="1"/>
    <col min="8964" max="8964" width="12.77734375" style="424" hidden="1" customWidth="1"/>
    <col min="8965" max="8970" width="12.109375" style="424" hidden="1" customWidth="1"/>
    <col min="8971" max="8981" width="8.77734375" style="424" hidden="1" customWidth="1"/>
    <col min="8982" max="9216" width="8.77734375" style="424" hidden="1"/>
    <col min="9217" max="9217" width="32.6640625" style="424" hidden="1" customWidth="1"/>
    <col min="9218" max="9219" width="12.109375" style="424" hidden="1" customWidth="1"/>
    <col min="9220" max="9220" width="12.77734375" style="424" hidden="1" customWidth="1"/>
    <col min="9221" max="9226" width="12.109375" style="424" hidden="1" customWidth="1"/>
    <col min="9227" max="9237" width="8.77734375" style="424" hidden="1" customWidth="1"/>
    <col min="9238" max="9472" width="8.77734375" style="424" hidden="1"/>
    <col min="9473" max="9473" width="32.6640625" style="424" hidden="1" customWidth="1"/>
    <col min="9474" max="9475" width="12.109375" style="424" hidden="1" customWidth="1"/>
    <col min="9476" max="9476" width="12.77734375" style="424" hidden="1" customWidth="1"/>
    <col min="9477" max="9482" width="12.109375" style="424" hidden="1" customWidth="1"/>
    <col min="9483" max="9493" width="8.77734375" style="424" hidden="1" customWidth="1"/>
    <col min="9494" max="9728" width="8.77734375" style="424" hidden="1"/>
    <col min="9729" max="9729" width="32.6640625" style="424" hidden="1" customWidth="1"/>
    <col min="9730" max="9731" width="12.109375" style="424" hidden="1" customWidth="1"/>
    <col min="9732" max="9732" width="12.77734375" style="424" hidden="1" customWidth="1"/>
    <col min="9733" max="9738" width="12.109375" style="424" hidden="1" customWidth="1"/>
    <col min="9739" max="9749" width="8.77734375" style="424" hidden="1" customWidth="1"/>
    <col min="9750" max="9984" width="8.77734375" style="424" hidden="1"/>
    <col min="9985" max="9985" width="32.6640625" style="424" hidden="1" customWidth="1"/>
    <col min="9986" max="9987" width="12.109375" style="424" hidden="1" customWidth="1"/>
    <col min="9988" max="9988" width="12.77734375" style="424" hidden="1" customWidth="1"/>
    <col min="9989" max="9994" width="12.109375" style="424" hidden="1" customWidth="1"/>
    <col min="9995" max="10005" width="8.77734375" style="424" hidden="1" customWidth="1"/>
    <col min="10006" max="10240" width="8.77734375" style="424" hidden="1"/>
    <col min="10241" max="10241" width="32.6640625" style="424" hidden="1" customWidth="1"/>
    <col min="10242" max="10243" width="12.109375" style="424" hidden="1" customWidth="1"/>
    <col min="10244" max="10244" width="12.77734375" style="424" hidden="1" customWidth="1"/>
    <col min="10245" max="10250" width="12.109375" style="424" hidden="1" customWidth="1"/>
    <col min="10251" max="10261" width="8.77734375" style="424" hidden="1" customWidth="1"/>
    <col min="10262" max="10496" width="8.77734375" style="424" hidden="1"/>
    <col min="10497" max="10497" width="32.6640625" style="424" hidden="1" customWidth="1"/>
    <col min="10498" max="10499" width="12.109375" style="424" hidden="1" customWidth="1"/>
    <col min="10500" max="10500" width="12.77734375" style="424" hidden="1" customWidth="1"/>
    <col min="10501" max="10506" width="12.109375" style="424" hidden="1" customWidth="1"/>
    <col min="10507" max="10517" width="8.77734375" style="424" hidden="1" customWidth="1"/>
    <col min="10518" max="10752" width="8.77734375" style="424" hidden="1"/>
    <col min="10753" max="10753" width="32.6640625" style="424" hidden="1" customWidth="1"/>
    <col min="10754" max="10755" width="12.109375" style="424" hidden="1" customWidth="1"/>
    <col min="10756" max="10756" width="12.77734375" style="424" hidden="1" customWidth="1"/>
    <col min="10757" max="10762" width="12.109375" style="424" hidden="1" customWidth="1"/>
    <col min="10763" max="10773" width="8.77734375" style="424" hidden="1" customWidth="1"/>
    <col min="10774" max="11008" width="8.77734375" style="424" hidden="1"/>
    <col min="11009" max="11009" width="32.6640625" style="424" hidden="1" customWidth="1"/>
    <col min="11010" max="11011" width="12.109375" style="424" hidden="1" customWidth="1"/>
    <col min="11012" max="11012" width="12.77734375" style="424" hidden="1" customWidth="1"/>
    <col min="11013" max="11018" width="12.109375" style="424" hidden="1" customWidth="1"/>
    <col min="11019" max="11029" width="8.77734375" style="424" hidden="1" customWidth="1"/>
    <col min="11030" max="11264" width="8.77734375" style="424" hidden="1"/>
    <col min="11265" max="11265" width="32.6640625" style="424" hidden="1" customWidth="1"/>
    <col min="11266" max="11267" width="12.109375" style="424" hidden="1" customWidth="1"/>
    <col min="11268" max="11268" width="12.77734375" style="424" hidden="1" customWidth="1"/>
    <col min="11269" max="11274" width="12.109375" style="424" hidden="1" customWidth="1"/>
    <col min="11275" max="11285" width="8.77734375" style="424" hidden="1" customWidth="1"/>
    <col min="11286" max="11520" width="8.77734375" style="424" hidden="1"/>
    <col min="11521" max="11521" width="32.6640625" style="424" hidden="1" customWidth="1"/>
    <col min="11522" max="11523" width="12.109375" style="424" hidden="1" customWidth="1"/>
    <col min="11524" max="11524" width="12.77734375" style="424" hidden="1" customWidth="1"/>
    <col min="11525" max="11530" width="12.109375" style="424" hidden="1" customWidth="1"/>
    <col min="11531" max="11541" width="8.77734375" style="424" hidden="1" customWidth="1"/>
    <col min="11542" max="11776" width="8.77734375" style="424" hidden="1"/>
    <col min="11777" max="11777" width="32.6640625" style="424" hidden="1" customWidth="1"/>
    <col min="11778" max="11779" width="12.109375" style="424" hidden="1" customWidth="1"/>
    <col min="11780" max="11780" width="12.77734375" style="424" hidden="1" customWidth="1"/>
    <col min="11781" max="11786" width="12.109375" style="424" hidden="1" customWidth="1"/>
    <col min="11787" max="11797" width="8.77734375" style="424" hidden="1" customWidth="1"/>
    <col min="11798" max="12032" width="8.77734375" style="424" hidden="1"/>
    <col min="12033" max="12033" width="32.6640625" style="424" hidden="1" customWidth="1"/>
    <col min="12034" max="12035" width="12.109375" style="424" hidden="1" customWidth="1"/>
    <col min="12036" max="12036" width="12.77734375" style="424" hidden="1" customWidth="1"/>
    <col min="12037" max="12042" width="12.109375" style="424" hidden="1" customWidth="1"/>
    <col min="12043" max="12053" width="8.77734375" style="424" hidden="1" customWidth="1"/>
    <col min="12054" max="12288" width="8.77734375" style="424" hidden="1"/>
    <col min="12289" max="12289" width="32.6640625" style="424" hidden="1" customWidth="1"/>
    <col min="12290" max="12291" width="12.109375" style="424" hidden="1" customWidth="1"/>
    <col min="12292" max="12292" width="12.77734375" style="424" hidden="1" customWidth="1"/>
    <col min="12293" max="12298" width="12.109375" style="424" hidden="1" customWidth="1"/>
    <col min="12299" max="12309" width="8.77734375" style="424" hidden="1" customWidth="1"/>
    <col min="12310" max="12544" width="8.77734375" style="424" hidden="1"/>
    <col min="12545" max="12545" width="32.6640625" style="424" hidden="1" customWidth="1"/>
    <col min="12546" max="12547" width="12.109375" style="424" hidden="1" customWidth="1"/>
    <col min="12548" max="12548" width="12.77734375" style="424" hidden="1" customWidth="1"/>
    <col min="12549" max="12554" width="12.109375" style="424" hidden="1" customWidth="1"/>
    <col min="12555" max="12565" width="8.77734375" style="424" hidden="1" customWidth="1"/>
    <col min="12566" max="12800" width="8.77734375" style="424" hidden="1"/>
    <col min="12801" max="12801" width="32.6640625" style="424" hidden="1" customWidth="1"/>
    <col min="12802" max="12803" width="12.109375" style="424" hidden="1" customWidth="1"/>
    <col min="12804" max="12804" width="12.77734375" style="424" hidden="1" customWidth="1"/>
    <col min="12805" max="12810" width="12.109375" style="424" hidden="1" customWidth="1"/>
    <col min="12811" max="12821" width="8.77734375" style="424" hidden="1" customWidth="1"/>
    <col min="12822" max="13056" width="8.77734375" style="424" hidden="1"/>
    <col min="13057" max="13057" width="32.6640625" style="424" hidden="1" customWidth="1"/>
    <col min="13058" max="13059" width="12.109375" style="424" hidden="1" customWidth="1"/>
    <col min="13060" max="13060" width="12.77734375" style="424" hidden="1" customWidth="1"/>
    <col min="13061" max="13066" width="12.109375" style="424" hidden="1" customWidth="1"/>
    <col min="13067" max="13077" width="8.77734375" style="424" hidden="1" customWidth="1"/>
    <col min="13078" max="13312" width="8.77734375" style="424" hidden="1"/>
    <col min="13313" max="13313" width="32.6640625" style="424" hidden="1" customWidth="1"/>
    <col min="13314" max="13315" width="12.109375" style="424" hidden="1" customWidth="1"/>
    <col min="13316" max="13316" width="12.77734375" style="424" hidden="1" customWidth="1"/>
    <col min="13317" max="13322" width="12.109375" style="424" hidden="1" customWidth="1"/>
    <col min="13323" max="13333" width="8.77734375" style="424" hidden="1" customWidth="1"/>
    <col min="13334" max="13568" width="8.77734375" style="424" hidden="1"/>
    <col min="13569" max="13569" width="32.6640625" style="424" hidden="1" customWidth="1"/>
    <col min="13570" max="13571" width="12.109375" style="424" hidden="1" customWidth="1"/>
    <col min="13572" max="13572" width="12.77734375" style="424" hidden="1" customWidth="1"/>
    <col min="13573" max="13578" width="12.109375" style="424" hidden="1" customWidth="1"/>
    <col min="13579" max="13589" width="8.77734375" style="424" hidden="1" customWidth="1"/>
    <col min="13590" max="13824" width="8.77734375" style="424" hidden="1"/>
    <col min="13825" max="13825" width="32.6640625" style="424" hidden="1" customWidth="1"/>
    <col min="13826" max="13827" width="12.109375" style="424" hidden="1" customWidth="1"/>
    <col min="13828" max="13828" width="12.77734375" style="424" hidden="1" customWidth="1"/>
    <col min="13829" max="13834" width="12.109375" style="424" hidden="1" customWidth="1"/>
    <col min="13835" max="13845" width="8.77734375" style="424" hidden="1" customWidth="1"/>
    <col min="13846" max="14080" width="8.77734375" style="424" hidden="1"/>
    <col min="14081" max="14081" width="32.6640625" style="424" hidden="1" customWidth="1"/>
    <col min="14082" max="14083" width="12.109375" style="424" hidden="1" customWidth="1"/>
    <col min="14084" max="14084" width="12.77734375" style="424" hidden="1" customWidth="1"/>
    <col min="14085" max="14090" width="12.109375" style="424" hidden="1" customWidth="1"/>
    <col min="14091" max="14101" width="8.77734375" style="424" hidden="1" customWidth="1"/>
    <col min="14102" max="14336" width="8.77734375" style="424" hidden="1"/>
    <col min="14337" max="14337" width="32.6640625" style="424" hidden="1" customWidth="1"/>
    <col min="14338" max="14339" width="12.109375" style="424" hidden="1" customWidth="1"/>
    <col min="14340" max="14340" width="12.77734375" style="424" hidden="1" customWidth="1"/>
    <col min="14341" max="14346" width="12.109375" style="424" hidden="1" customWidth="1"/>
    <col min="14347" max="14357" width="8.77734375" style="424" hidden="1" customWidth="1"/>
    <col min="14358" max="14592" width="8.77734375" style="424" hidden="1"/>
    <col min="14593" max="14593" width="32.6640625" style="424" hidden="1" customWidth="1"/>
    <col min="14594" max="14595" width="12.109375" style="424" hidden="1" customWidth="1"/>
    <col min="14596" max="14596" width="12.77734375" style="424" hidden="1" customWidth="1"/>
    <col min="14597" max="14602" width="12.109375" style="424" hidden="1" customWidth="1"/>
    <col min="14603" max="14613" width="8.77734375" style="424" hidden="1" customWidth="1"/>
    <col min="14614" max="14848" width="8.77734375" style="424" hidden="1"/>
    <col min="14849" max="14849" width="32.6640625" style="424" hidden="1" customWidth="1"/>
    <col min="14850" max="14851" width="12.109375" style="424" hidden="1" customWidth="1"/>
    <col min="14852" max="14852" width="12.77734375" style="424" hidden="1" customWidth="1"/>
    <col min="14853" max="14858" width="12.109375" style="424" hidden="1" customWidth="1"/>
    <col min="14859" max="14869" width="8.77734375" style="424" hidden="1" customWidth="1"/>
    <col min="14870" max="15104" width="8.77734375" style="424" hidden="1"/>
    <col min="15105" max="15105" width="32.6640625" style="424" hidden="1" customWidth="1"/>
    <col min="15106" max="15107" width="12.109375" style="424" hidden="1" customWidth="1"/>
    <col min="15108" max="15108" width="12.77734375" style="424" hidden="1" customWidth="1"/>
    <col min="15109" max="15114" width="12.109375" style="424" hidden="1" customWidth="1"/>
    <col min="15115" max="15125" width="8.77734375" style="424" hidden="1" customWidth="1"/>
    <col min="15126" max="15360" width="8.77734375" style="424" hidden="1"/>
    <col min="15361" max="15361" width="32.6640625" style="424" hidden="1" customWidth="1"/>
    <col min="15362" max="15363" width="12.109375" style="424" hidden="1" customWidth="1"/>
    <col min="15364" max="15364" width="12.77734375" style="424" hidden="1" customWidth="1"/>
    <col min="15365" max="15370" width="12.109375" style="424" hidden="1" customWidth="1"/>
    <col min="15371" max="15381" width="8.77734375" style="424" hidden="1" customWidth="1"/>
    <col min="15382" max="15616" width="8.77734375" style="424" hidden="1"/>
    <col min="15617" max="15617" width="32.6640625" style="424" hidden="1" customWidth="1"/>
    <col min="15618" max="15619" width="12.109375" style="424" hidden="1" customWidth="1"/>
    <col min="15620" max="15620" width="12.77734375" style="424" hidden="1" customWidth="1"/>
    <col min="15621" max="15626" width="12.109375" style="424" hidden="1" customWidth="1"/>
    <col min="15627" max="15637" width="8.77734375" style="424" hidden="1" customWidth="1"/>
    <col min="15638" max="15872" width="8.77734375" style="424" hidden="1"/>
    <col min="15873" max="15873" width="32.6640625" style="424" hidden="1" customWidth="1"/>
    <col min="15874" max="15875" width="12.109375" style="424" hidden="1" customWidth="1"/>
    <col min="15876" max="15876" width="12.77734375" style="424" hidden="1" customWidth="1"/>
    <col min="15877" max="15882" width="12.109375" style="424" hidden="1" customWidth="1"/>
    <col min="15883" max="15893" width="8.77734375" style="424" hidden="1" customWidth="1"/>
    <col min="15894" max="16128" width="8.77734375" style="424" hidden="1"/>
    <col min="16129" max="16129" width="32.6640625" style="424" hidden="1" customWidth="1"/>
    <col min="16130" max="16131" width="12.109375" style="424" hidden="1" customWidth="1"/>
    <col min="16132" max="16132" width="12.77734375" style="424" hidden="1" customWidth="1"/>
    <col min="16133" max="16138" width="12.109375" style="424" hidden="1" customWidth="1"/>
    <col min="16139" max="16149" width="8.77734375" style="424" hidden="1" customWidth="1"/>
    <col min="16150" max="16384" width="8.77734375" style="424" hidden="1"/>
  </cols>
  <sheetData>
    <row r="1" spans="1:11" s="387" customFormat="1" ht="13.2">
      <c r="A1" s="1912" t="s">
        <v>1333</v>
      </c>
      <c r="B1" s="1913"/>
      <c r="C1" s="1913"/>
      <c r="D1" s="1913"/>
      <c r="E1" s="1913"/>
      <c r="F1" s="1913"/>
      <c r="G1" s="1913"/>
      <c r="H1" s="1913"/>
      <c r="I1" s="1913"/>
      <c r="J1" s="1914"/>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8500000</v>
      </c>
      <c r="C4" s="393">
        <f>B4</f>
        <v>8500000</v>
      </c>
      <c r="D4" s="393"/>
      <c r="E4" s="394"/>
      <c r="F4" s="394"/>
      <c r="G4" s="394"/>
      <c r="H4" s="394"/>
      <c r="I4" s="394"/>
      <c r="J4" s="394"/>
      <c r="K4" s="390"/>
    </row>
    <row r="5" spans="1:11" s="391" customFormat="1" ht="11.4">
      <c r="A5" s="395" t="s">
        <v>28</v>
      </c>
      <c r="B5" s="392">
        <f>'Sources and Uses Budget'!C5</f>
        <v>0</v>
      </c>
      <c r="C5" s="393"/>
      <c r="D5" s="393"/>
      <c r="E5" s="394"/>
      <c r="F5" s="394"/>
      <c r="G5" s="394"/>
      <c r="H5" s="394"/>
      <c r="I5" s="394"/>
      <c r="J5" s="394"/>
      <c r="K5" s="390"/>
    </row>
    <row r="6" spans="1:11" s="391" customFormat="1" ht="11.4">
      <c r="A6" s="395" t="s">
        <v>29</v>
      </c>
      <c r="B6" s="392">
        <f>'Sources and Uses Budget'!C6</f>
        <v>0</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601</v>
      </c>
      <c r="B8" s="392">
        <f>'Sources and Uses Budget'!C8</f>
        <v>8500000</v>
      </c>
      <c r="C8" s="392">
        <f>SUM(C4:C7)</f>
        <v>8500000</v>
      </c>
      <c r="D8" s="392">
        <f>SUM(D4:D7)</f>
        <v>0</v>
      </c>
      <c r="E8" s="394"/>
      <c r="F8" s="394"/>
      <c r="G8" s="394"/>
      <c r="H8" s="394"/>
      <c r="I8" s="394"/>
      <c r="J8" s="394"/>
      <c r="K8" s="390"/>
    </row>
    <row r="9" spans="1:11" s="391" customFormat="1" ht="11.4">
      <c r="A9" s="395" t="s">
        <v>602</v>
      </c>
      <c r="B9" s="392">
        <f>'Sources and Uses Budget'!C9</f>
        <v>0</v>
      </c>
      <c r="C9" s="393"/>
      <c r="D9" s="393"/>
      <c r="E9" s="394"/>
      <c r="F9" s="394"/>
      <c r="G9" s="394"/>
      <c r="H9" s="392">
        <f>'Sources and Uses Budget'!T9</f>
        <v>0</v>
      </c>
      <c r="I9" s="393"/>
      <c r="J9" s="393"/>
      <c r="K9" s="390"/>
    </row>
    <row r="10" spans="1:11" s="391" customFormat="1" ht="11.4">
      <c r="A10" s="395" t="s">
        <v>603</v>
      </c>
      <c r="B10" s="392">
        <f>'Sources and Uses Budget'!C10</f>
        <v>400000</v>
      </c>
      <c r="C10" s="393">
        <f>B10</f>
        <v>400000</v>
      </c>
      <c r="D10" s="393"/>
      <c r="E10" s="392">
        <f>'Sources and Uses Budget'!S10</f>
        <v>400000</v>
      </c>
      <c r="F10" s="393">
        <f>E10</f>
        <v>400000</v>
      </c>
      <c r="G10" s="393"/>
      <c r="H10" s="392">
        <f>'Sources and Uses Budget'!T10</f>
        <v>0</v>
      </c>
      <c r="I10" s="393"/>
      <c r="J10" s="393"/>
      <c r="K10" s="390"/>
    </row>
    <row r="11" spans="1:11" s="391" customFormat="1">
      <c r="A11" s="396" t="s">
        <v>604</v>
      </c>
      <c r="B11" s="392">
        <f>'Sources and Uses Budget'!C11</f>
        <v>400000</v>
      </c>
      <c r="C11" s="392">
        <f>SUM(C9:C10)</f>
        <v>400000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8900000</v>
      </c>
      <c r="C12" s="392">
        <f>SUM(C8+C11)</f>
        <v>8900000</v>
      </c>
      <c r="D12" s="392">
        <f>SUM(D8+D11)</f>
        <v>0</v>
      </c>
      <c r="E12" s="394"/>
      <c r="F12" s="394"/>
      <c r="G12" s="394"/>
      <c r="H12" s="394"/>
      <c r="I12" s="394"/>
      <c r="J12" s="394"/>
      <c r="K12" s="390"/>
    </row>
    <row r="13" spans="1:11" s="391" customFormat="1" ht="11.4">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605</v>
      </c>
      <c r="B16" s="389"/>
      <c r="C16" s="389"/>
      <c r="D16" s="389"/>
      <c r="E16" s="389"/>
      <c r="F16" s="389"/>
      <c r="G16" s="389"/>
      <c r="H16" s="389"/>
      <c r="I16" s="389"/>
      <c r="J16" s="389"/>
      <c r="K16" s="390"/>
    </row>
    <row r="17" spans="1:11" s="391" customFormat="1" ht="11.4">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ht="11.4">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ht="11.4">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4">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606</v>
      </c>
      <c r="B29" s="392">
        <f>'Sources and Uses Budget'!C29</f>
        <v>1000000</v>
      </c>
      <c r="C29" s="393">
        <f>B29</f>
        <v>1000000</v>
      </c>
      <c r="D29" s="393"/>
      <c r="E29" s="392">
        <f>'Sources and Uses Budget'!S29</f>
        <v>1000000</v>
      </c>
      <c r="F29" s="393">
        <f>E29</f>
        <v>1000000</v>
      </c>
      <c r="G29" s="393"/>
      <c r="H29" s="392">
        <f>'Sources and Uses Budget'!T29</f>
        <v>0</v>
      </c>
      <c r="I29" s="393"/>
      <c r="J29" s="393"/>
      <c r="K29" s="390"/>
    </row>
    <row r="30" spans="1:11" s="391" customFormat="1" ht="11.4">
      <c r="A30" s="145" t="s">
        <v>607</v>
      </c>
      <c r="B30" s="392">
        <f>'Sources and Uses Budget'!C30</f>
        <v>34468212</v>
      </c>
      <c r="C30" s="393">
        <f t="shared" ref="C30:C37" si="0">B30</f>
        <v>34468212</v>
      </c>
      <c r="D30" s="393"/>
      <c r="E30" s="392">
        <f>'Sources and Uses Budget'!S30</f>
        <v>34468212</v>
      </c>
      <c r="F30" s="393">
        <f t="shared" ref="F30:F36" si="1">E30</f>
        <v>34468212</v>
      </c>
      <c r="G30" s="393"/>
      <c r="H30" s="392">
        <f>'Sources and Uses Budget'!T30</f>
        <v>0</v>
      </c>
      <c r="I30" s="393"/>
      <c r="J30" s="393"/>
      <c r="K30" s="390"/>
    </row>
    <row r="31" spans="1:11" s="391" customFormat="1" ht="11.4">
      <c r="A31" s="145" t="s">
        <v>608</v>
      </c>
      <c r="B31" s="392">
        <f>'Sources and Uses Budget'!C31</f>
        <v>2582511</v>
      </c>
      <c r="C31" s="393">
        <f t="shared" si="0"/>
        <v>2582511</v>
      </c>
      <c r="D31" s="393"/>
      <c r="E31" s="392">
        <f>'Sources and Uses Budget'!S31</f>
        <v>2582511</v>
      </c>
      <c r="F31" s="393">
        <f t="shared" si="1"/>
        <v>2582511</v>
      </c>
      <c r="G31" s="393"/>
      <c r="H31" s="392">
        <f>'Sources and Uses Budget'!T31</f>
        <v>0</v>
      </c>
      <c r="I31" s="393"/>
      <c r="J31" s="393"/>
      <c r="K31" s="390"/>
    </row>
    <row r="32" spans="1:11" s="391" customFormat="1" ht="11.4">
      <c r="A32" s="145" t="s">
        <v>137</v>
      </c>
      <c r="B32" s="392">
        <f>'Sources and Uses Budget'!C32</f>
        <v>860837.1</v>
      </c>
      <c r="C32" s="393">
        <f t="shared" si="0"/>
        <v>860837.1</v>
      </c>
      <c r="D32" s="393"/>
      <c r="E32" s="392">
        <f>'Sources and Uses Budget'!S32</f>
        <v>860837.1</v>
      </c>
      <c r="F32" s="393">
        <f t="shared" si="1"/>
        <v>860837.1</v>
      </c>
      <c r="G32" s="393"/>
      <c r="H32" s="392">
        <f>'Sources and Uses Budget'!T32</f>
        <v>0</v>
      </c>
      <c r="I32" s="393"/>
      <c r="J32" s="393"/>
      <c r="K32" s="390"/>
    </row>
    <row r="33" spans="1:11" s="391" customFormat="1" ht="11.4">
      <c r="A33" s="145" t="s">
        <v>138</v>
      </c>
      <c r="B33" s="392">
        <f>'Sources and Uses Budget'!C33</f>
        <v>2582511</v>
      </c>
      <c r="C33" s="393">
        <f t="shared" si="0"/>
        <v>2582511</v>
      </c>
      <c r="D33" s="393"/>
      <c r="E33" s="392">
        <f>'Sources and Uses Budget'!S33</f>
        <v>2582511</v>
      </c>
      <c r="F33" s="393">
        <f t="shared" si="1"/>
        <v>2582511</v>
      </c>
      <c r="G33" s="393"/>
      <c r="H33" s="392">
        <f>'Sources and Uses Budget'!T33</f>
        <v>0</v>
      </c>
      <c r="I33" s="393"/>
      <c r="J33" s="393"/>
      <c r="K33" s="390"/>
    </row>
    <row r="34" spans="1:11" s="391" customFormat="1" ht="11.4">
      <c r="A34" s="145" t="s">
        <v>139</v>
      </c>
      <c r="B34" s="392">
        <f>'Sources and Uses Budget'!C34</f>
        <v>7173642</v>
      </c>
      <c r="C34" s="393">
        <f t="shared" si="0"/>
        <v>7173642</v>
      </c>
      <c r="D34" s="393"/>
      <c r="E34" s="392">
        <f>'Sources and Uses Budget'!S34</f>
        <v>7173642</v>
      </c>
      <c r="F34" s="393">
        <f t="shared" si="1"/>
        <v>7173642</v>
      </c>
      <c r="G34" s="393"/>
      <c r="H34" s="392">
        <f>'Sources and Uses Budget'!T34</f>
        <v>0</v>
      </c>
      <c r="I34" s="393"/>
      <c r="J34" s="393"/>
      <c r="K34" s="390"/>
    </row>
    <row r="35" spans="1:11" s="391" customFormat="1" ht="11.4">
      <c r="A35" s="145" t="s">
        <v>140</v>
      </c>
      <c r="B35" s="392">
        <f>'Sources and Uses Budget'!C35</f>
        <v>490677.1</v>
      </c>
      <c r="C35" s="393">
        <f t="shared" si="0"/>
        <v>490677.1</v>
      </c>
      <c r="D35" s="393"/>
      <c r="E35" s="392">
        <f>'Sources and Uses Budget'!S35</f>
        <v>490677.1</v>
      </c>
      <c r="F35" s="393">
        <f t="shared" si="1"/>
        <v>490677.1</v>
      </c>
      <c r="G35" s="393"/>
      <c r="H35" s="392">
        <f>'Sources and Uses Budget'!T35</f>
        <v>0</v>
      </c>
      <c r="I35" s="393"/>
      <c r="J35" s="393"/>
      <c r="K35" s="390"/>
    </row>
    <row r="36" spans="1:11" s="391" customFormat="1" ht="11.4">
      <c r="A36" s="542" t="s">
        <v>1750</v>
      </c>
      <c r="B36" s="392">
        <f>'Sources and Uses Budget'!C36</f>
        <v>0</v>
      </c>
      <c r="C36" s="393">
        <f t="shared" si="0"/>
        <v>0</v>
      </c>
      <c r="D36" s="393"/>
      <c r="E36" s="392">
        <f>'Sources and Uses Budget'!S36</f>
        <v>0</v>
      </c>
      <c r="F36" s="393">
        <f t="shared" si="1"/>
        <v>0</v>
      </c>
      <c r="G36" s="393"/>
      <c r="H36" s="392">
        <f>'Sources and Uses Budget'!T36</f>
        <v>0</v>
      </c>
      <c r="I36" s="393"/>
      <c r="J36" s="393"/>
      <c r="K36" s="390"/>
    </row>
    <row r="37" spans="1:11" s="391" customFormat="1" ht="11.4">
      <c r="A37" s="395" t="str">
        <f>'Sources and Uses Budget'!$A37</f>
        <v>Other: (Bond Premium)</v>
      </c>
      <c r="B37" s="392">
        <f>'Sources and Uses Budget'!C37</f>
        <v>0</v>
      </c>
      <c r="C37" s="393">
        <f t="shared" si="0"/>
        <v>0</v>
      </c>
      <c r="D37" s="393"/>
      <c r="E37" s="392">
        <f>'Sources and Uses Budget'!S37</f>
        <v>0</v>
      </c>
      <c r="F37" s="393"/>
      <c r="G37" s="393"/>
      <c r="H37" s="392">
        <f>'Sources and Uses Budget'!T37</f>
        <v>0</v>
      </c>
      <c r="I37" s="393"/>
      <c r="J37" s="393"/>
      <c r="K37" s="390"/>
    </row>
    <row r="38" spans="1:11" s="391" customFormat="1">
      <c r="A38" s="396" t="s">
        <v>143</v>
      </c>
      <c r="B38" s="392">
        <f>'Sources and Uses Budget'!C38</f>
        <v>49158390.200000003</v>
      </c>
      <c r="C38" s="392">
        <f>SUM(C29:C37)</f>
        <v>49158390.200000003</v>
      </c>
      <c r="D38" s="392">
        <f>SUM(D29:D37)</f>
        <v>0</v>
      </c>
      <c r="E38" s="392">
        <f>'Sources and Uses Budget'!S38</f>
        <v>49158390.200000003</v>
      </c>
      <c r="F38" s="398">
        <f>SUM(F29:F37)</f>
        <v>49158390.200000003</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1350000</v>
      </c>
      <c r="C40" s="393">
        <f>B40</f>
        <v>1350000</v>
      </c>
      <c r="D40" s="393"/>
      <c r="E40" s="392">
        <f>'Sources and Uses Budget'!S40</f>
        <v>1350000</v>
      </c>
      <c r="F40" s="393">
        <f>E40</f>
        <v>1350000</v>
      </c>
      <c r="G40" s="393"/>
      <c r="H40" s="392">
        <f>'Sources and Uses Budget'!T40</f>
        <v>0</v>
      </c>
      <c r="I40" s="393"/>
      <c r="J40" s="393"/>
      <c r="K40" s="390"/>
    </row>
    <row r="41" spans="1:11" s="391" customFormat="1" ht="11.4">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1350000</v>
      </c>
      <c r="C42" s="392">
        <f>SUM(C39:C41)</f>
        <v>1350000</v>
      </c>
      <c r="D42" s="392">
        <f>SUM(D39:D41)</f>
        <v>0</v>
      </c>
      <c r="E42" s="392">
        <f>'Sources and Uses Budget'!S42</f>
        <v>1350000</v>
      </c>
      <c r="F42" s="398">
        <f>SUM(F40:F41)</f>
        <v>1350000</v>
      </c>
      <c r="G42" s="398">
        <f>SUM(G40:G41)</f>
        <v>0</v>
      </c>
      <c r="H42" s="392">
        <f>'Sources and Uses Budget'!T42</f>
        <v>0</v>
      </c>
      <c r="I42" s="398">
        <f>SUM(I40:I41)</f>
        <v>0</v>
      </c>
      <c r="J42" s="398">
        <f>SUM(J40:J41)</f>
        <v>0</v>
      </c>
      <c r="K42" s="390"/>
    </row>
    <row r="43" spans="1:11" s="391" customFormat="1">
      <c r="A43" s="396" t="s">
        <v>148</v>
      </c>
      <c r="B43" s="392">
        <f>'Sources and Uses Budget'!C43</f>
        <v>650000</v>
      </c>
      <c r="C43" s="393">
        <f>B43</f>
        <v>650000</v>
      </c>
      <c r="D43" s="393"/>
      <c r="E43" s="392">
        <f>'Sources and Uses Budget'!S43</f>
        <v>650000</v>
      </c>
      <c r="F43" s="393">
        <f>E43</f>
        <v>650000</v>
      </c>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6457039.5</v>
      </c>
      <c r="C45" s="393">
        <f>B45</f>
        <v>6457039.5</v>
      </c>
      <c r="D45" s="393"/>
      <c r="E45" s="392">
        <f>'Sources and Uses Budget'!S45</f>
        <v>4148253</v>
      </c>
      <c r="F45" s="393">
        <f>E45</f>
        <v>4148253</v>
      </c>
      <c r="G45" s="393"/>
      <c r="H45" s="392">
        <f>'Sources and Uses Budget'!T45</f>
        <v>0</v>
      </c>
      <c r="I45" s="393"/>
      <c r="J45" s="393"/>
      <c r="K45" s="390"/>
    </row>
    <row r="46" spans="1:11" s="391" customFormat="1" ht="11.4">
      <c r="A46" s="395" t="s">
        <v>151</v>
      </c>
      <c r="B46" s="392">
        <f>'Sources and Uses Budget'!C46</f>
        <v>492819.5</v>
      </c>
      <c r="C46" s="393">
        <f t="shared" ref="C46:C53" si="2">B46</f>
        <v>492819.5</v>
      </c>
      <c r="D46" s="393"/>
      <c r="E46" s="392">
        <f>'Sources and Uses Budget'!S46</f>
        <v>369615</v>
      </c>
      <c r="F46" s="393">
        <f t="shared" ref="F46:F53" si="3">E46</f>
        <v>369615</v>
      </c>
      <c r="G46" s="393"/>
      <c r="H46" s="392">
        <f>'Sources and Uses Budget'!T46</f>
        <v>0</v>
      </c>
      <c r="I46" s="393"/>
      <c r="J46" s="393"/>
      <c r="K46" s="390"/>
    </row>
    <row r="47" spans="1:11" s="391" customFormat="1" ht="12" customHeight="1">
      <c r="A47" s="395" t="s">
        <v>152</v>
      </c>
      <c r="B47" s="392">
        <f>'Sources and Uses Budget'!C47</f>
        <v>15000</v>
      </c>
      <c r="C47" s="393">
        <f t="shared" si="2"/>
        <v>15000</v>
      </c>
      <c r="D47" s="393"/>
      <c r="E47" s="392">
        <f>'Sources and Uses Budget'!S47</f>
        <v>11250</v>
      </c>
      <c r="F47" s="393">
        <f t="shared" si="3"/>
        <v>11250</v>
      </c>
      <c r="G47" s="393"/>
      <c r="H47" s="392">
        <f>'Sources and Uses Budget'!T47</f>
        <v>0</v>
      </c>
      <c r="I47" s="393"/>
      <c r="J47" s="393"/>
      <c r="K47" s="390"/>
    </row>
    <row r="48" spans="1:11" s="391" customFormat="1" ht="11.4">
      <c r="A48" s="395" t="s">
        <v>153</v>
      </c>
      <c r="B48" s="392">
        <f>'Sources and Uses Budget'!C48</f>
        <v>441609.4</v>
      </c>
      <c r="C48" s="393">
        <f t="shared" si="2"/>
        <v>441609.4</v>
      </c>
      <c r="D48" s="393"/>
      <c r="E48" s="392">
        <f>'Sources and Uses Budget'!S48</f>
        <v>441609.4</v>
      </c>
      <c r="F48" s="393">
        <f t="shared" si="3"/>
        <v>441609.4</v>
      </c>
      <c r="G48" s="393"/>
      <c r="H48" s="392">
        <f>'Sources and Uses Budget'!T48</f>
        <v>0</v>
      </c>
      <c r="I48" s="393"/>
      <c r="J48" s="393"/>
      <c r="K48" s="390"/>
    </row>
    <row r="49" spans="1:11" s="391" customFormat="1" ht="11.4">
      <c r="A49" s="304" t="s">
        <v>57</v>
      </c>
      <c r="B49" s="392">
        <f>'Sources and Uses Budget'!C49</f>
        <v>123205</v>
      </c>
      <c r="C49" s="393">
        <f t="shared" si="2"/>
        <v>123205</v>
      </c>
      <c r="D49" s="393"/>
      <c r="E49" s="392">
        <f>'Sources and Uses Budget'!S49</f>
        <v>123205</v>
      </c>
      <c r="F49" s="393">
        <f t="shared" si="3"/>
        <v>123205</v>
      </c>
      <c r="G49" s="393"/>
      <c r="H49" s="392">
        <f>'Sources and Uses Budget'!T49</f>
        <v>0</v>
      </c>
      <c r="I49" s="393"/>
      <c r="J49" s="393"/>
      <c r="K49" s="390"/>
    </row>
    <row r="50" spans="1:11" s="391" customFormat="1" ht="11.4">
      <c r="A50" s="395" t="s">
        <v>156</v>
      </c>
      <c r="B50" s="392">
        <f>'Sources and Uses Budget'!C50</f>
        <v>100000</v>
      </c>
      <c r="C50" s="393">
        <f t="shared" si="2"/>
        <v>100000</v>
      </c>
      <c r="D50" s="393"/>
      <c r="E50" s="392">
        <f>'Sources and Uses Budget'!S50</f>
        <v>75000</v>
      </c>
      <c r="F50" s="393">
        <f t="shared" si="3"/>
        <v>75000</v>
      </c>
      <c r="G50" s="393"/>
      <c r="H50" s="392">
        <f>'Sources and Uses Budget'!T50</f>
        <v>0</v>
      </c>
      <c r="I50" s="393"/>
      <c r="J50" s="393"/>
      <c r="K50" s="390"/>
    </row>
    <row r="51" spans="1:11" s="391" customFormat="1" ht="11.4">
      <c r="A51" s="395" t="s">
        <v>154</v>
      </c>
      <c r="B51" s="392">
        <f>'Sources and Uses Budget'!C51</f>
        <v>105000</v>
      </c>
      <c r="C51" s="393">
        <f t="shared" si="2"/>
        <v>105000</v>
      </c>
      <c r="D51" s="393"/>
      <c r="E51" s="392">
        <f>'Sources and Uses Budget'!S51</f>
        <v>105000</v>
      </c>
      <c r="F51" s="393">
        <f t="shared" si="3"/>
        <v>105000</v>
      </c>
      <c r="G51" s="393"/>
      <c r="H51" s="392">
        <f>'Sources and Uses Budget'!T51</f>
        <v>0</v>
      </c>
      <c r="I51" s="393"/>
      <c r="J51" s="393"/>
      <c r="K51" s="390"/>
    </row>
    <row r="52" spans="1:11" s="391" customFormat="1" ht="11.4">
      <c r="A52" s="395" t="s">
        <v>155</v>
      </c>
      <c r="B52" s="392">
        <f>'Sources and Uses Budget'!C52</f>
        <v>750000</v>
      </c>
      <c r="C52" s="393">
        <f t="shared" si="2"/>
        <v>750000</v>
      </c>
      <c r="D52" s="393"/>
      <c r="E52" s="392">
        <f>'Sources and Uses Budget'!S52</f>
        <v>750000</v>
      </c>
      <c r="F52" s="393">
        <f t="shared" si="3"/>
        <v>750000</v>
      </c>
      <c r="G52" s="393"/>
      <c r="H52" s="392">
        <f>'Sources and Uses Budget'!T52</f>
        <v>0</v>
      </c>
      <c r="I52" s="393"/>
      <c r="J52" s="393"/>
      <c r="K52" s="390"/>
    </row>
    <row r="53" spans="1:11" s="391" customFormat="1" ht="11.4">
      <c r="A53" s="395" t="str">
        <f>'Sources and Uses Budget'!$A53</f>
        <v>Other: (Employment Reporting)</v>
      </c>
      <c r="B53" s="392">
        <f>'Sources and Uses Budget'!C53</f>
        <v>25000</v>
      </c>
      <c r="C53" s="393">
        <f t="shared" si="2"/>
        <v>25000</v>
      </c>
      <c r="D53" s="393"/>
      <c r="E53" s="392">
        <f>'Sources and Uses Budget'!S53</f>
        <v>25000</v>
      </c>
      <c r="F53" s="393">
        <f t="shared" si="3"/>
        <v>25000</v>
      </c>
      <c r="G53" s="393"/>
      <c r="H53" s="392">
        <f>'Sources and Uses Budget'!T53</f>
        <v>0</v>
      </c>
      <c r="I53" s="393"/>
      <c r="J53" s="393"/>
      <c r="K53" s="390"/>
    </row>
    <row r="54" spans="1:11" s="400" customFormat="1">
      <c r="A54" s="396" t="s">
        <v>157</v>
      </c>
      <c r="B54" s="392">
        <f>'Sources and Uses Budget'!C54</f>
        <v>8509673.4000000004</v>
      </c>
      <c r="C54" s="398">
        <f>SUM(C45:C53)</f>
        <v>8509673.4000000004</v>
      </c>
      <c r="D54" s="398">
        <f>SUM(D45:D53)</f>
        <v>0</v>
      </c>
      <c r="E54" s="392">
        <f>'Sources and Uses Budget'!S54</f>
        <v>6048932.4000000004</v>
      </c>
      <c r="F54" s="398">
        <f>SUM(F45:F53)</f>
        <v>6048932.4000000004</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ht="11.4">
      <c r="A58" s="395" t="s">
        <v>156</v>
      </c>
      <c r="B58" s="392">
        <f>'Sources and Uses Budget'!C58</f>
        <v>10000</v>
      </c>
      <c r="C58" s="393">
        <f>B58</f>
        <v>10000</v>
      </c>
      <c r="D58" s="393"/>
      <c r="E58" s="394"/>
      <c r="F58" s="394"/>
      <c r="G58" s="394"/>
      <c r="H58" s="394"/>
      <c r="I58" s="394"/>
      <c r="J58" s="394"/>
      <c r="K58" s="390"/>
    </row>
    <row r="59" spans="1:11" s="391" customFormat="1" ht="11.4">
      <c r="A59" s="395" t="s">
        <v>154</v>
      </c>
      <c r="B59" s="392">
        <f>'Sources and Uses Budget'!C59</f>
        <v>0</v>
      </c>
      <c r="C59" s="393">
        <f t="shared" ref="C59:C61" si="4">B59</f>
        <v>0</v>
      </c>
      <c r="D59" s="393"/>
      <c r="E59" s="394"/>
      <c r="F59" s="394"/>
      <c r="G59" s="394"/>
      <c r="H59" s="394"/>
      <c r="I59" s="394"/>
      <c r="J59" s="394"/>
      <c r="K59" s="390"/>
    </row>
    <row r="60" spans="1:11" s="391" customFormat="1" ht="11.4">
      <c r="A60" s="395" t="s">
        <v>155</v>
      </c>
      <c r="B60" s="392">
        <f>'Sources and Uses Budget'!C60</f>
        <v>0</v>
      </c>
      <c r="C60" s="393">
        <f t="shared" si="4"/>
        <v>0</v>
      </c>
      <c r="D60" s="393"/>
      <c r="E60" s="394"/>
      <c r="F60" s="394"/>
      <c r="G60" s="394"/>
      <c r="H60" s="394"/>
      <c r="I60" s="394"/>
      <c r="J60" s="394"/>
      <c r="K60" s="390"/>
    </row>
    <row r="61" spans="1:11" s="391" customFormat="1" ht="11.4">
      <c r="A61" s="395" t="str">
        <f>'Sources and Uses Budget'!$A61</f>
        <v>Other: (Perm Legal)</v>
      </c>
      <c r="B61" s="392">
        <f>'Sources and Uses Budget'!C61</f>
        <v>15000</v>
      </c>
      <c r="C61" s="393">
        <f t="shared" si="4"/>
        <v>15000</v>
      </c>
      <c r="D61" s="393"/>
      <c r="E61" s="394"/>
      <c r="F61" s="394"/>
      <c r="G61" s="394"/>
      <c r="H61" s="394"/>
      <c r="I61" s="394"/>
      <c r="J61" s="394"/>
      <c r="K61" s="390"/>
    </row>
    <row r="62" spans="1:11" s="391" customFormat="1" ht="13.8" customHeight="1">
      <c r="A62" s="396" t="s">
        <v>302</v>
      </c>
      <c r="B62" s="392">
        <f>'Sources and Uses Budget'!C62</f>
        <v>25000</v>
      </c>
      <c r="C62" s="392">
        <f>SUM(C56:C61)</f>
        <v>25000</v>
      </c>
      <c r="D62" s="392">
        <f>SUM(D56:D61)</f>
        <v>0</v>
      </c>
      <c r="E62" s="394"/>
      <c r="F62" s="394"/>
      <c r="G62" s="394"/>
      <c r="H62" s="394"/>
      <c r="I62" s="394"/>
      <c r="J62" s="394"/>
      <c r="K62" s="390"/>
    </row>
    <row r="63" spans="1:11" s="391" customFormat="1" ht="11.4">
      <c r="A63" s="401" t="s">
        <v>303</v>
      </c>
      <c r="B63" s="392">
        <f>'Sources and Uses Budget'!C63</f>
        <v>68593063.600000009</v>
      </c>
      <c r="C63" s="392">
        <f>SUM(C8+C11+C13+C14+C15+C26+C27+C38+C42+C43+C54+C62)</f>
        <v>68593063.600000009</v>
      </c>
      <c r="D63" s="392">
        <f>SUM(D8+D11+D13+D14+D15+D26+D27+D38+D42+D43+D54+D62)</f>
        <v>0</v>
      </c>
      <c r="E63" s="392">
        <f>'Sources and Uses Budget'!S63</f>
        <v>57607322.600000001</v>
      </c>
      <c r="F63" s="392">
        <f>SUM(F10+F13+F14+F15+F26+F27+F38+F42+F43+F54)</f>
        <v>57607322.600000001</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1754</v>
      </c>
      <c r="B64" s="389"/>
      <c r="C64" s="389"/>
      <c r="D64" s="389"/>
      <c r="E64" s="389"/>
      <c r="F64" s="389"/>
      <c r="G64" s="389"/>
      <c r="H64" s="389"/>
      <c r="I64" s="389"/>
      <c r="J64" s="389"/>
      <c r="K64" s="390"/>
    </row>
    <row r="65" spans="1:11" s="391" customFormat="1" ht="11.4">
      <c r="A65" s="145" t="s">
        <v>171</v>
      </c>
      <c r="B65" s="392">
        <f>'Sources and Uses Budget'!C65</f>
        <v>100000</v>
      </c>
      <c r="C65" s="393">
        <f>B65</f>
        <v>100000</v>
      </c>
      <c r="D65" s="393"/>
      <c r="E65" s="392">
        <f>'Sources and Uses Budget'!S65</f>
        <v>100000</v>
      </c>
      <c r="F65" s="393">
        <f>E65</f>
        <v>100000</v>
      </c>
      <c r="G65" s="393"/>
      <c r="H65" s="392">
        <f>'Sources and Uses Budget'!T65</f>
        <v>0</v>
      </c>
      <c r="I65" s="393"/>
      <c r="J65" s="393"/>
      <c r="K65" s="390"/>
    </row>
    <row r="66" spans="1:11" s="391" customFormat="1" ht="22.8">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ht="11.4">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ht="22.8">
      <c r="A69" s="395" t="str">
        <f>'Sources and Uses Budget'!$A69</f>
        <v>Other: (Lender, Investor,Bond Issuer, MGP Legal)</v>
      </c>
      <c r="B69" s="392">
        <f>'Sources and Uses Budget'!C69</f>
        <v>225000</v>
      </c>
      <c r="C69" s="393">
        <f>B69</f>
        <v>225000</v>
      </c>
      <c r="D69" s="393"/>
      <c r="E69" s="392">
        <f>'Sources and Uses Budget'!S69</f>
        <v>75000</v>
      </c>
      <c r="F69" s="393">
        <f>E69</f>
        <v>75000</v>
      </c>
      <c r="G69" s="393"/>
      <c r="H69" s="392">
        <f>'Sources and Uses Budget'!T69</f>
        <v>0</v>
      </c>
      <c r="I69" s="393"/>
      <c r="J69" s="393"/>
      <c r="K69" s="390"/>
    </row>
    <row r="70" spans="1:11" s="391" customFormat="1">
      <c r="A70" s="396" t="s">
        <v>609</v>
      </c>
      <c r="B70" s="392">
        <f>'Sources and Uses Budget'!C70</f>
        <v>325000</v>
      </c>
      <c r="C70" s="392">
        <f>SUM(C64:C69)</f>
        <v>325000</v>
      </c>
      <c r="D70" s="392">
        <f>SUM(D64:D69)</f>
        <v>0</v>
      </c>
      <c r="E70" s="392">
        <f>'Sources and Uses Budget'!S70</f>
        <v>175000</v>
      </c>
      <c r="F70" s="398">
        <f>SUM(F65:F69)</f>
        <v>175000</v>
      </c>
      <c r="G70" s="398">
        <f>SUM(G65:G69)</f>
        <v>0</v>
      </c>
      <c r="H70" s="392">
        <f>'Sources and Uses Budget'!T70</f>
        <v>0</v>
      </c>
      <c r="I70" s="398">
        <f>SUM(I65:I69)</f>
        <v>0</v>
      </c>
      <c r="J70" s="398">
        <f>SUM(J65:J69)</f>
        <v>0</v>
      </c>
      <c r="K70" s="390"/>
    </row>
    <row r="71" spans="1:11" s="391" customFormat="1" ht="11.4">
      <c r="A71" s="388" t="s">
        <v>610</v>
      </c>
      <c r="B71" s="389"/>
      <c r="C71" s="389"/>
      <c r="D71" s="389"/>
      <c r="E71" s="389"/>
      <c r="F71" s="389"/>
      <c r="G71" s="389"/>
      <c r="H71" s="389"/>
      <c r="I71" s="389"/>
      <c r="J71" s="389"/>
      <c r="K71" s="390"/>
    </row>
    <row r="72" spans="1:11" s="391" customFormat="1" ht="11.4">
      <c r="A72" s="395" t="s">
        <v>611</v>
      </c>
      <c r="B72" s="392">
        <f>'Sources and Uses Budget'!C72</f>
        <v>0</v>
      </c>
      <c r="C72" s="393"/>
      <c r="D72" s="393"/>
      <c r="E72" s="394"/>
      <c r="F72" s="394"/>
      <c r="G72" s="394"/>
      <c r="H72" s="394"/>
      <c r="I72" s="394"/>
      <c r="J72" s="394"/>
      <c r="K72" s="390"/>
    </row>
    <row r="73" spans="1:11" s="391" customFormat="1" ht="11.4">
      <c r="A73" s="395" t="s">
        <v>612</v>
      </c>
      <c r="B73" s="392">
        <f>'Sources and Uses Budget'!C73</f>
        <v>0</v>
      </c>
      <c r="C73" s="393"/>
      <c r="D73" s="393"/>
      <c r="E73" s="394"/>
      <c r="F73" s="394"/>
      <c r="G73" s="394"/>
      <c r="H73" s="394"/>
      <c r="I73" s="394"/>
      <c r="J73" s="394"/>
      <c r="K73" s="390"/>
    </row>
    <row r="74" spans="1:11" s="391" customFormat="1" ht="11.4">
      <c r="A74" s="397" t="s">
        <v>1006</v>
      </c>
      <c r="B74" s="392">
        <f>'Sources and Uses Budget'!C74</f>
        <v>0</v>
      </c>
      <c r="C74" s="393"/>
      <c r="D74" s="393"/>
      <c r="E74" s="394"/>
      <c r="F74" s="394"/>
      <c r="G74" s="394"/>
      <c r="H74" s="394"/>
      <c r="I74" s="394"/>
      <c r="J74" s="394"/>
      <c r="K74" s="390"/>
    </row>
    <row r="75" spans="1:11" s="391" customFormat="1" ht="11.4">
      <c r="A75" s="395" t="s">
        <v>613</v>
      </c>
      <c r="B75" s="392">
        <f>'Sources and Uses Budget'!C75</f>
        <v>779349.4</v>
      </c>
      <c r="C75" s="393">
        <f>B75</f>
        <v>779349.4</v>
      </c>
      <c r="D75" s="393"/>
      <c r="E75" s="394"/>
      <c r="F75" s="394"/>
      <c r="G75" s="394"/>
      <c r="H75" s="394"/>
      <c r="I75" s="394"/>
      <c r="J75" s="394"/>
      <c r="K75" s="390"/>
    </row>
    <row r="76" spans="1:11" s="391" customFormat="1" ht="11.4">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779349.4</v>
      </c>
      <c r="C77" s="392">
        <f>SUM(C72:C76)</f>
        <v>779349.4</v>
      </c>
      <c r="D77" s="392">
        <f>SUM(D72:D76)</f>
        <v>0</v>
      </c>
      <c r="E77" s="394"/>
      <c r="F77" s="394"/>
      <c r="G77" s="394"/>
      <c r="H77" s="394"/>
      <c r="I77" s="394"/>
      <c r="J77" s="394"/>
      <c r="K77" s="390"/>
    </row>
    <row r="78" spans="1:11" s="391" customFormat="1" ht="11.4">
      <c r="A78" s="388" t="s">
        <v>1315</v>
      </c>
      <c r="B78" s="389"/>
      <c r="C78" s="389"/>
      <c r="D78" s="389"/>
      <c r="E78" s="389"/>
      <c r="F78" s="389"/>
      <c r="G78" s="389"/>
      <c r="H78" s="389"/>
      <c r="I78" s="389"/>
      <c r="J78" s="389"/>
      <c r="K78" s="390"/>
    </row>
    <row r="79" spans="1:11" s="391" customFormat="1" ht="11.4">
      <c r="A79" s="395" t="s">
        <v>1317</v>
      </c>
      <c r="B79" s="392">
        <f>'Sources and Uses Budget'!C79</f>
        <v>2500000</v>
      </c>
      <c r="C79" s="393">
        <f>B79</f>
        <v>2500000</v>
      </c>
      <c r="D79" s="393"/>
      <c r="E79" s="392">
        <f>'Sources and Uses Budget'!S79</f>
        <v>2500000</v>
      </c>
      <c r="F79" s="393">
        <f>E79</f>
        <v>2500000</v>
      </c>
      <c r="G79" s="393"/>
      <c r="H79" s="392">
        <f>'Sources and Uses Budget'!T79</f>
        <v>0</v>
      </c>
      <c r="I79" s="393"/>
      <c r="J79" s="393"/>
      <c r="K79" s="390"/>
    </row>
    <row r="80" spans="1:11" s="391" customFormat="1" ht="11.4">
      <c r="A80" s="395" t="s">
        <v>58</v>
      </c>
      <c r="B80" s="392">
        <f>'Sources and Uses Budget'!C80</f>
        <v>631820</v>
      </c>
      <c r="C80" s="393">
        <f>B80</f>
        <v>631820</v>
      </c>
      <c r="D80" s="393"/>
      <c r="E80" s="392">
        <f>'Sources and Uses Budget'!S80</f>
        <v>631820</v>
      </c>
      <c r="F80" s="393">
        <f>E80</f>
        <v>631820</v>
      </c>
      <c r="G80" s="393"/>
      <c r="H80" s="392">
        <f>'Sources and Uses Budget'!T80</f>
        <v>0</v>
      </c>
      <c r="I80" s="393"/>
      <c r="J80" s="393"/>
      <c r="K80" s="390"/>
    </row>
    <row r="81" spans="1:11" s="391" customFormat="1">
      <c r="A81" s="396" t="s">
        <v>1314</v>
      </c>
      <c r="B81" s="392">
        <f>'Sources and Uses Budget'!C81</f>
        <v>3131820</v>
      </c>
      <c r="C81" s="392">
        <f>SUM(C79:C80)</f>
        <v>3131820</v>
      </c>
      <c r="D81" s="392">
        <f>SUM(D79:D80)</f>
        <v>0</v>
      </c>
      <c r="E81" s="392">
        <f>'Sources and Uses Budget'!S81</f>
        <v>3131820</v>
      </c>
      <c r="F81" s="392">
        <f>SUM(F79:F80)</f>
        <v>3131820</v>
      </c>
      <c r="G81" s="392">
        <f>SUM(G79:G80)</f>
        <v>0</v>
      </c>
      <c r="H81" s="392">
        <f>'Sources and Uses Budget'!T81</f>
        <v>0</v>
      </c>
      <c r="I81" s="392">
        <f>SUM(I79:I80)</f>
        <v>0</v>
      </c>
      <c r="J81" s="392">
        <f>SUM(J79:J80)</f>
        <v>0</v>
      </c>
      <c r="K81" s="390"/>
    </row>
    <row r="82" spans="1:11" s="391" customFormat="1" ht="11.4">
      <c r="A82" s="388" t="s">
        <v>773</v>
      </c>
      <c r="B82" s="389"/>
      <c r="C82" s="389"/>
      <c r="D82" s="389"/>
      <c r="E82" s="389"/>
      <c r="F82" s="389"/>
      <c r="G82" s="389"/>
      <c r="H82" s="389"/>
      <c r="I82" s="389"/>
      <c r="J82" s="389"/>
      <c r="K82" s="390"/>
    </row>
    <row r="83" spans="1:11" s="391" customFormat="1" ht="13.8" customHeight="1">
      <c r="A83" s="145" t="s">
        <v>2405</v>
      </c>
      <c r="B83" s="392">
        <f>'Sources and Uses Budget'!C83</f>
        <v>110263</v>
      </c>
      <c r="C83" s="393">
        <f>B83</f>
        <v>110263</v>
      </c>
      <c r="D83" s="393"/>
      <c r="E83" s="394"/>
      <c r="F83" s="394"/>
      <c r="G83" s="394"/>
      <c r="H83" s="394"/>
      <c r="I83" s="394"/>
      <c r="J83" s="394"/>
      <c r="K83" s="390"/>
    </row>
    <row r="84" spans="1:11" s="391" customFormat="1" ht="11.4">
      <c r="A84" s="145" t="s">
        <v>775</v>
      </c>
      <c r="B84" s="392">
        <f>'Sources and Uses Budget'!C84</f>
        <v>50000</v>
      </c>
      <c r="C84" s="393">
        <f t="shared" ref="C84:C95" si="5">B84</f>
        <v>50000</v>
      </c>
      <c r="D84" s="393"/>
      <c r="E84" s="392">
        <f>'Sources and Uses Budget'!S84</f>
        <v>50000</v>
      </c>
      <c r="F84" s="393">
        <f>E84</f>
        <v>50000</v>
      </c>
      <c r="G84" s="393"/>
      <c r="H84" s="392">
        <f>'Sources and Uses Budget'!T84</f>
        <v>0</v>
      </c>
      <c r="I84" s="393"/>
      <c r="J84" s="393"/>
      <c r="K84" s="390"/>
    </row>
    <row r="85" spans="1:11" s="391" customFormat="1" ht="11.4">
      <c r="A85" s="145" t="s">
        <v>776</v>
      </c>
      <c r="B85" s="392">
        <f>'Sources and Uses Budget'!C85</f>
        <v>2239299</v>
      </c>
      <c r="C85" s="393">
        <f t="shared" si="5"/>
        <v>2239299</v>
      </c>
      <c r="D85" s="393"/>
      <c r="E85" s="392">
        <f>'Sources and Uses Budget'!S85</f>
        <v>2239299</v>
      </c>
      <c r="F85" s="393">
        <f t="shared" ref="F85:F86" si="6">E85</f>
        <v>2239299</v>
      </c>
      <c r="G85" s="393"/>
      <c r="H85" s="392">
        <f>'Sources and Uses Budget'!T85</f>
        <v>0</v>
      </c>
      <c r="I85" s="393"/>
      <c r="J85" s="393"/>
      <c r="K85" s="390"/>
    </row>
    <row r="86" spans="1:11" s="391" customFormat="1" ht="11.4">
      <c r="A86" s="145" t="s">
        <v>777</v>
      </c>
      <c r="B86" s="392">
        <f>'Sources and Uses Budget'!C86</f>
        <v>1260701</v>
      </c>
      <c r="C86" s="393">
        <f t="shared" si="5"/>
        <v>1260701</v>
      </c>
      <c r="D86" s="393"/>
      <c r="E86" s="392">
        <f>'Sources and Uses Budget'!S86</f>
        <v>1260701</v>
      </c>
      <c r="F86" s="393">
        <f t="shared" si="6"/>
        <v>1260701</v>
      </c>
      <c r="G86" s="393"/>
      <c r="H86" s="392">
        <f>'Sources and Uses Budget'!T86</f>
        <v>0</v>
      </c>
      <c r="I86" s="393"/>
      <c r="J86" s="393"/>
      <c r="K86" s="390"/>
    </row>
    <row r="87" spans="1:11" s="391" customFormat="1" ht="11.4">
      <c r="A87" s="145" t="s">
        <v>778</v>
      </c>
      <c r="B87" s="392">
        <f>'Sources and Uses Budget'!C87</f>
        <v>0</v>
      </c>
      <c r="C87" s="393">
        <f t="shared" si="5"/>
        <v>0</v>
      </c>
      <c r="D87" s="393"/>
      <c r="E87" s="392">
        <f>'Sources and Uses Budget'!S87</f>
        <v>0</v>
      </c>
      <c r="F87" s="393"/>
      <c r="G87" s="393"/>
      <c r="H87" s="392">
        <f>'Sources and Uses Budget'!T87</f>
        <v>0</v>
      </c>
      <c r="I87" s="393"/>
      <c r="J87" s="393"/>
      <c r="K87" s="390"/>
    </row>
    <row r="88" spans="1:11" s="391" customFormat="1" ht="11.4">
      <c r="A88" s="145" t="s">
        <v>779</v>
      </c>
      <c r="B88" s="392">
        <f>'Sources and Uses Budget'!C88</f>
        <v>139000</v>
      </c>
      <c r="C88" s="393">
        <f t="shared" si="5"/>
        <v>139000</v>
      </c>
      <c r="D88" s="393"/>
      <c r="E88" s="394"/>
      <c r="F88" s="394"/>
      <c r="G88" s="394"/>
      <c r="H88" s="394"/>
      <c r="I88" s="394"/>
      <c r="J88" s="394"/>
      <c r="K88" s="390"/>
    </row>
    <row r="89" spans="1:11" s="391" customFormat="1" ht="11.4">
      <c r="A89" s="145" t="s">
        <v>780</v>
      </c>
      <c r="B89" s="392">
        <f>'Sources and Uses Budget'!C89</f>
        <v>100000</v>
      </c>
      <c r="C89" s="393">
        <f t="shared" si="5"/>
        <v>100000</v>
      </c>
      <c r="D89" s="393"/>
      <c r="E89" s="392">
        <f>'Sources and Uses Budget'!S89</f>
        <v>100000</v>
      </c>
      <c r="F89" s="393">
        <f>E89</f>
        <v>100000</v>
      </c>
      <c r="G89" s="393"/>
      <c r="H89" s="392">
        <f>'Sources and Uses Budget'!T89</f>
        <v>0</v>
      </c>
      <c r="I89" s="393"/>
      <c r="J89" s="393"/>
      <c r="K89" s="390"/>
    </row>
    <row r="90" spans="1:11" s="391" customFormat="1" ht="11.4">
      <c r="A90" s="145" t="s">
        <v>781</v>
      </c>
      <c r="B90" s="392">
        <f>'Sources and Uses Budget'!C90</f>
        <v>15000</v>
      </c>
      <c r="C90" s="393">
        <f t="shared" si="5"/>
        <v>15000</v>
      </c>
      <c r="D90" s="393"/>
      <c r="E90" s="392">
        <f>'Sources and Uses Budget'!S90</f>
        <v>15000</v>
      </c>
      <c r="F90" s="393">
        <f t="shared" ref="F90:F95" si="7">E90</f>
        <v>15000</v>
      </c>
      <c r="G90" s="393"/>
      <c r="H90" s="392">
        <f>'Sources and Uses Budget'!T90</f>
        <v>0</v>
      </c>
      <c r="I90" s="393"/>
      <c r="J90" s="393"/>
      <c r="K90" s="390"/>
    </row>
    <row r="91" spans="1:11" s="391" customFormat="1" ht="11.4">
      <c r="A91" s="155" t="s">
        <v>373</v>
      </c>
      <c r="B91" s="392">
        <f>'Sources and Uses Budget'!C91</f>
        <v>50000</v>
      </c>
      <c r="C91" s="393">
        <f t="shared" si="5"/>
        <v>50000</v>
      </c>
      <c r="D91" s="393"/>
      <c r="E91" s="392">
        <f>'Sources and Uses Budget'!S91</f>
        <v>50000</v>
      </c>
      <c r="F91" s="393">
        <f t="shared" si="7"/>
        <v>50000</v>
      </c>
      <c r="G91" s="393"/>
      <c r="H91" s="392">
        <f>'Sources and Uses Budget'!T91</f>
        <v>0</v>
      </c>
      <c r="I91" s="393"/>
      <c r="J91" s="393"/>
      <c r="K91" s="390"/>
    </row>
    <row r="92" spans="1:11" s="391" customFormat="1" ht="11.4">
      <c r="A92" s="542" t="s">
        <v>1316</v>
      </c>
      <c r="B92" s="392">
        <f>'Sources and Uses Budget'!C92</f>
        <v>20000</v>
      </c>
      <c r="C92" s="393">
        <f t="shared" si="5"/>
        <v>20000</v>
      </c>
      <c r="D92" s="393"/>
      <c r="E92" s="392">
        <f>'Sources and Uses Budget'!S92</f>
        <v>20000</v>
      </c>
      <c r="F92" s="393">
        <f t="shared" si="7"/>
        <v>20000</v>
      </c>
      <c r="G92" s="393"/>
      <c r="H92" s="392">
        <f>'Sources and Uses Budget'!T92</f>
        <v>0</v>
      </c>
      <c r="I92" s="393"/>
      <c r="J92" s="393"/>
      <c r="K92" s="390"/>
    </row>
    <row r="93" spans="1:11" s="391" customFormat="1" ht="34.200000000000003">
      <c r="A93" s="395" t="str">
        <f>'Sources and Uses Budget'!$A93</f>
        <v>Other: (Prevailing Wage Monitoring ; Miscellaneous Third-Party Costs;Predevelopment Loan Interest)</v>
      </c>
      <c r="B93" s="392">
        <f>'Sources and Uses Budget'!C93</f>
        <v>492000</v>
      </c>
      <c r="C93" s="393">
        <f t="shared" si="5"/>
        <v>492000</v>
      </c>
      <c r="D93" s="393"/>
      <c r="E93" s="392">
        <f>'Sources and Uses Budget'!S93</f>
        <v>492000</v>
      </c>
      <c r="F93" s="393">
        <f t="shared" si="7"/>
        <v>492000</v>
      </c>
      <c r="G93" s="393"/>
      <c r="H93" s="392">
        <f>'Sources and Uses Budget'!T93</f>
        <v>0</v>
      </c>
      <c r="I93" s="393"/>
      <c r="J93" s="393"/>
      <c r="K93" s="390"/>
    </row>
    <row r="94" spans="1:11" s="391" customFormat="1" ht="11.4">
      <c r="A94" s="395" t="str">
        <f>'Sources and Uses Budget'!$A94</f>
        <v>Other: (Relocation Cost)</v>
      </c>
      <c r="B94" s="392">
        <f>'Sources and Uses Budget'!C94</f>
        <v>61180</v>
      </c>
      <c r="C94" s="393">
        <f t="shared" si="5"/>
        <v>61180</v>
      </c>
      <c r="D94" s="393"/>
      <c r="E94" s="392">
        <f>'Sources and Uses Budget'!S94</f>
        <v>0</v>
      </c>
      <c r="F94" s="393">
        <f t="shared" si="7"/>
        <v>0</v>
      </c>
      <c r="G94" s="393"/>
      <c r="H94" s="392">
        <f>'Sources and Uses Budget'!T94</f>
        <v>0</v>
      </c>
      <c r="I94" s="393"/>
      <c r="J94" s="393"/>
      <c r="K94" s="390"/>
    </row>
    <row r="95" spans="1:11" s="391" customFormat="1" ht="11.4">
      <c r="A95" s="395" t="str">
        <f>'Sources and Uses Budget'!$A95</f>
        <v>Other: (CDLAC Fee)</v>
      </c>
      <c r="B95" s="392">
        <f>'Sources and Uses Budget'!C95</f>
        <v>14673</v>
      </c>
      <c r="C95" s="393">
        <f t="shared" si="5"/>
        <v>14673</v>
      </c>
      <c r="D95" s="393"/>
      <c r="E95" s="392">
        <f>'Sources and Uses Budget'!S95</f>
        <v>14673</v>
      </c>
      <c r="F95" s="393">
        <f t="shared" si="7"/>
        <v>14673</v>
      </c>
      <c r="G95" s="393"/>
      <c r="H95" s="392">
        <f>'Sources and Uses Budget'!T95</f>
        <v>0</v>
      </c>
      <c r="I95" s="393"/>
      <c r="J95" s="393"/>
      <c r="K95" s="390"/>
    </row>
    <row r="96" spans="1:11" s="391" customFormat="1">
      <c r="A96" s="396" t="s">
        <v>782</v>
      </c>
      <c r="B96" s="392">
        <f>'Sources and Uses Budget'!C96</f>
        <v>4552116</v>
      </c>
      <c r="C96" s="392">
        <f>SUM(C83:C95)</f>
        <v>4552116</v>
      </c>
      <c r="D96" s="392">
        <f>SUM(D83:D95)</f>
        <v>0</v>
      </c>
      <c r="E96" s="392">
        <f>'Sources and Uses Budget'!S96</f>
        <v>4241673</v>
      </c>
      <c r="F96" s="398">
        <f>SUM(F84:F87,F89:F95)</f>
        <v>4241673</v>
      </c>
      <c r="G96" s="398">
        <f>SUM(G84:G87,G89:G95)</f>
        <v>0</v>
      </c>
      <c r="H96" s="392">
        <f>'Sources and Uses Budget'!T96</f>
        <v>0</v>
      </c>
      <c r="I96" s="392">
        <f>SUM(I84:I87,I89:I95)</f>
        <v>0</v>
      </c>
      <c r="J96" s="392">
        <f>SUM(J84:J87,J89:J95)</f>
        <v>0</v>
      </c>
      <c r="K96" s="390"/>
    </row>
    <row r="97" spans="1:11" s="391" customFormat="1">
      <c r="A97" s="396" t="s">
        <v>1052</v>
      </c>
      <c r="B97" s="392">
        <f>'Sources and Uses Budget'!C97</f>
        <v>77381349.000000015</v>
      </c>
      <c r="C97" s="392">
        <f>SUM(C63+C70+C77+C81+C96)</f>
        <v>77381349.000000015</v>
      </c>
      <c r="D97" s="392">
        <f>SUM(D63+D70+D77+D81+D96)</f>
        <v>0</v>
      </c>
      <c r="E97" s="392">
        <f>'Sources and Uses Budget'!S97</f>
        <v>65155815.600000001</v>
      </c>
      <c r="F97" s="398">
        <f>SUM(+F63+F70+F81+F96)</f>
        <v>65155815.600000001</v>
      </c>
      <c r="G97" s="398">
        <f>SUM(+G63+G70+G81+G96)</f>
        <v>0</v>
      </c>
      <c r="H97" s="392">
        <f>'Sources and Uses Budget'!T97</f>
        <v>0</v>
      </c>
      <c r="I97" s="398">
        <f>SUM(I63+I70+I81+I96)</f>
        <v>0</v>
      </c>
      <c r="J97" s="398">
        <f>SUM(J63+J70+J81+J96)</f>
        <v>0</v>
      </c>
      <c r="K97" s="390"/>
    </row>
    <row r="98" spans="1:11" s="391" customFormat="1" ht="11.4">
      <c r="A98" s="388" t="s">
        <v>784</v>
      </c>
      <c r="B98" s="389"/>
      <c r="C98" s="389"/>
      <c r="D98" s="389"/>
      <c r="E98" s="389"/>
      <c r="F98" s="389"/>
      <c r="G98" s="389"/>
      <c r="H98" s="389"/>
      <c r="I98" s="389"/>
      <c r="J98" s="389"/>
      <c r="K98" s="390"/>
    </row>
    <row r="99" spans="1:11" s="391" customFormat="1" ht="11.4">
      <c r="A99" s="145" t="s">
        <v>785</v>
      </c>
      <c r="B99" s="392">
        <f>'Sources and Uses Budget'!C99</f>
        <v>9773372</v>
      </c>
      <c r="C99" s="393">
        <f>B99</f>
        <v>9773372</v>
      </c>
      <c r="D99" s="393"/>
      <c r="E99" s="392">
        <f>'Sources and Uses Budget'!S99</f>
        <v>9773372</v>
      </c>
      <c r="F99" s="393">
        <f>E99</f>
        <v>9773372</v>
      </c>
      <c r="G99" s="393"/>
      <c r="H99" s="392">
        <f>'Sources and Uses Budget'!T99</f>
        <v>0</v>
      </c>
      <c r="I99" s="393"/>
      <c r="J99" s="393"/>
      <c r="K99" s="390"/>
    </row>
    <row r="100" spans="1:11" s="391" customFormat="1" ht="11.4">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9773372</v>
      </c>
      <c r="C104" s="392">
        <f>SUM(C99:C103)</f>
        <v>9773372</v>
      </c>
      <c r="D104" s="392">
        <f>SUM(D99:D103)</f>
        <v>0</v>
      </c>
      <c r="E104" s="392">
        <f>'Sources and Uses Budget'!S104</f>
        <v>9773372</v>
      </c>
      <c r="F104" s="398">
        <f>SUM(F99:F103)</f>
        <v>9773372</v>
      </c>
      <c r="G104" s="398">
        <f>SUM(G99:G103)</f>
        <v>0</v>
      </c>
      <c r="H104" s="392">
        <f>'Sources and Uses Budget'!T104</f>
        <v>0</v>
      </c>
      <c r="I104" s="398">
        <f>SUM(I99:I103)</f>
        <v>0</v>
      </c>
      <c r="J104" s="398">
        <f>SUM(J99:J103)</f>
        <v>0</v>
      </c>
      <c r="K104" s="390"/>
    </row>
    <row r="105" spans="1:11" s="391" customFormat="1">
      <c r="A105" s="396" t="s">
        <v>1053</v>
      </c>
      <c r="B105" s="392">
        <f>'Sources and Uses Budget'!C105</f>
        <v>87154721.000000015</v>
      </c>
      <c r="C105" s="398">
        <f>SUM(C97+C104)</f>
        <v>87154721.000000015</v>
      </c>
      <c r="D105" s="398">
        <f>SUM(D97+D104)</f>
        <v>0</v>
      </c>
      <c r="E105" s="392">
        <f>'Sources and Uses Budget'!S105</f>
        <v>74929187.599999994</v>
      </c>
      <c r="F105" s="398">
        <f>F97+F104</f>
        <v>74929187.599999994</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74929187.599999994</v>
      </c>
      <c r="F107" s="398">
        <f>F105+F106</f>
        <v>74929187.599999994</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910"/>
      <c r="E124" s="1335"/>
      <c r="F124" s="1335"/>
      <c r="G124" s="1335"/>
      <c r="H124" s="1335"/>
      <c r="I124" s="1335"/>
      <c r="J124" s="407"/>
      <c r="K124" s="390"/>
    </row>
    <row r="125" spans="1:11" s="391" customFormat="1" ht="13.2">
      <c r="A125" s="416"/>
      <c r="B125" s="415"/>
      <c r="C125" s="416"/>
      <c r="D125" s="1335"/>
      <c r="E125" s="1335"/>
      <c r="F125" s="1335"/>
      <c r="G125" s="1335"/>
      <c r="H125" s="1335"/>
      <c r="I125" s="1335"/>
      <c r="J125" s="407"/>
      <c r="K125" s="390"/>
    </row>
    <row r="126" spans="1:11" s="391" customFormat="1" ht="13.2">
      <c r="A126" s="416"/>
      <c r="B126" s="415"/>
      <c r="C126" s="416"/>
      <c r="D126" s="1335"/>
      <c r="E126" s="1335"/>
      <c r="F126" s="1335"/>
      <c r="G126" s="1335"/>
      <c r="H126" s="1335"/>
      <c r="I126" s="1335"/>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911"/>
      <c r="B139" s="1335"/>
      <c r="C139" s="1335"/>
      <c r="D139" s="387"/>
      <c r="E139" s="416"/>
      <c r="F139" s="416"/>
      <c r="G139" s="416"/>
    </row>
    <row r="140" spans="1:11" ht="12" customHeight="1">
      <c r="A140" s="1295"/>
      <c r="B140" s="1295"/>
      <c r="C140" s="1295"/>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89" zoomScaleNormal="100" workbookViewId="0">
      <selection activeCell="AM257" sqref="AM257"/>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33203125" style="1197" hidden="1" customWidth="1"/>
    <col min="66" max="70" width="5.6640625" style="1197" bestFit="1" customWidth="1"/>
    <col min="71" max="71" width="6.109375" style="1197" bestFit="1" customWidth="1"/>
    <col min="72" max="76" width="5.6640625" style="1197" bestFit="1" customWidth="1"/>
    <col min="77" max="77" width="6.109375" style="1197" bestFit="1" customWidth="1"/>
    <col min="78" max="78" width="5.6640625" style="1197" bestFit="1" customWidth="1"/>
    <col min="79" max="16384" width="2.6640625" style="1197"/>
  </cols>
  <sheetData>
    <row r="1" spans="1:65" ht="15.75" customHeight="1">
      <c r="A1" s="1975" t="s">
        <v>2407</v>
      </c>
      <c r="B1" s="1976"/>
      <c r="C1" s="1976"/>
      <c r="D1" s="1976"/>
      <c r="E1" s="1976"/>
      <c r="F1" s="1976"/>
      <c r="G1" s="1976"/>
      <c r="H1" s="1976"/>
      <c r="I1" s="1976"/>
      <c r="J1" s="1976"/>
      <c r="K1" s="1976"/>
      <c r="L1" s="1976"/>
      <c r="M1" s="1976"/>
      <c r="N1" s="1976"/>
      <c r="O1" s="1976"/>
      <c r="P1" s="1976"/>
      <c r="Q1" s="1976"/>
      <c r="R1" s="1976"/>
      <c r="S1" s="1976"/>
      <c r="T1" s="1976"/>
      <c r="U1" s="1976"/>
      <c r="V1" s="1976"/>
      <c r="W1" s="1976"/>
      <c r="X1" s="1976"/>
      <c r="Y1" s="1976"/>
      <c r="Z1" s="1976"/>
      <c r="AA1" s="1976"/>
      <c r="AB1" s="1976"/>
      <c r="AC1" s="1976"/>
      <c r="AD1" s="1976"/>
      <c r="AE1" s="1976"/>
      <c r="AF1" s="1976"/>
      <c r="AG1" s="1976"/>
      <c r="AH1" s="1976"/>
      <c r="AI1" s="1976"/>
      <c r="AJ1" s="1976"/>
      <c r="AK1" s="1976"/>
      <c r="AL1" s="1976"/>
      <c r="AM1" s="1976"/>
      <c r="AN1" s="1976"/>
      <c r="AO1" s="1976"/>
      <c r="AP1" s="1976"/>
      <c r="AQ1" s="1976"/>
      <c r="AR1" s="1976"/>
      <c r="AS1" s="1976"/>
      <c r="AT1" s="1976"/>
      <c r="AU1" s="1976"/>
      <c r="AV1" s="1976"/>
      <c r="AW1" s="1976"/>
      <c r="AX1" s="1976"/>
      <c r="AY1" s="1976"/>
      <c r="AZ1" s="1976"/>
      <c r="BA1" s="1976"/>
      <c r="BB1" s="1976"/>
      <c r="BC1" s="1976"/>
      <c r="BD1" s="1976"/>
      <c r="BE1" s="1977"/>
    </row>
    <row r="2" spans="1:65" ht="15.75" customHeight="1">
      <c r="A2" s="1978" t="s">
        <v>2454</v>
      </c>
      <c r="B2" s="1979"/>
      <c r="C2" s="1979"/>
      <c r="D2" s="1979"/>
      <c r="E2" s="1979"/>
      <c r="F2" s="1979"/>
      <c r="G2" s="1979"/>
      <c r="H2" s="1979"/>
      <c r="I2" s="1979"/>
      <c r="J2" s="1979"/>
      <c r="K2" s="1979"/>
      <c r="L2" s="1979"/>
      <c r="M2" s="1979"/>
      <c r="N2" s="1979"/>
      <c r="O2" s="1979"/>
      <c r="P2" s="1979"/>
      <c r="Q2" s="1979"/>
      <c r="R2" s="1979"/>
      <c r="S2" s="1979"/>
      <c r="T2" s="1979"/>
      <c r="U2" s="1979"/>
      <c r="V2" s="1979"/>
      <c r="W2" s="1979"/>
      <c r="X2" s="1979"/>
      <c r="Y2" s="1979"/>
      <c r="Z2" s="1979"/>
      <c r="AA2" s="1979"/>
      <c r="AB2" s="1979"/>
      <c r="AC2" s="1979"/>
      <c r="AD2" s="1979"/>
      <c r="AE2" s="1979"/>
      <c r="AF2" s="1979"/>
      <c r="AG2" s="1979"/>
      <c r="AH2" s="1979"/>
      <c r="AI2" s="1979"/>
      <c r="AJ2" s="1979"/>
      <c r="AK2" s="1979"/>
      <c r="AL2" s="1979"/>
      <c r="AM2" s="1979"/>
      <c r="AN2" s="1979"/>
      <c r="AO2" s="1979"/>
      <c r="AP2" s="1979"/>
      <c r="AQ2" s="1979"/>
      <c r="AR2" s="1979"/>
      <c r="AS2" s="1979"/>
      <c r="AT2" s="1979"/>
      <c r="AU2" s="1979"/>
      <c r="AV2" s="1979"/>
      <c r="AW2" s="1979"/>
      <c r="AX2" s="1979"/>
      <c r="AY2" s="1979"/>
      <c r="AZ2" s="1979"/>
      <c r="BA2" s="1979"/>
      <c r="BB2" s="1979"/>
      <c r="BC2" s="1979"/>
      <c r="BD2" s="1979"/>
      <c r="BE2" s="198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1981" t="str">
        <f>IF(Application!H18="","",Application!H18)</f>
        <v>4575 Scotts Valley Apartments</v>
      </c>
      <c r="M4" s="1982"/>
      <c r="N4" s="1982"/>
      <c r="O4" s="1982"/>
      <c r="P4" s="1982"/>
      <c r="Q4" s="1982"/>
      <c r="R4" s="1982"/>
      <c r="S4" s="1982"/>
      <c r="T4" s="1982"/>
      <c r="U4" s="1982"/>
      <c r="V4" s="1982"/>
      <c r="W4" s="1982"/>
      <c r="X4" s="1982"/>
      <c r="Y4" s="1982"/>
      <c r="Z4" s="1982"/>
      <c r="AA4" s="1982"/>
      <c r="AB4" s="1982"/>
      <c r="AC4" s="1983"/>
      <c r="AD4" s="1206"/>
      <c r="AE4" s="1206"/>
      <c r="AF4" s="1984" t="s">
        <v>2455</v>
      </c>
      <c r="AG4" s="1984"/>
      <c r="AH4" s="1984"/>
      <c r="AI4" s="1984"/>
      <c r="AJ4" s="1984"/>
      <c r="AK4" s="1984"/>
      <c r="AL4" s="1984"/>
      <c r="AM4" s="1984"/>
      <c r="AN4" s="1984"/>
      <c r="AO4" s="1984"/>
      <c r="AP4" s="1985"/>
      <c r="AQ4" s="1986"/>
      <c r="AR4" s="1986"/>
      <c r="AS4" s="1986"/>
      <c r="AT4" s="1986"/>
      <c r="AU4" s="1986"/>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984" t="s">
        <v>2456</v>
      </c>
      <c r="AG5" s="1984"/>
      <c r="AH5" s="1984"/>
      <c r="AI5" s="1984"/>
      <c r="AJ5" s="1984"/>
      <c r="AK5" s="1984"/>
      <c r="AL5" s="1984"/>
      <c r="AM5" s="1984"/>
      <c r="AN5" s="1984"/>
      <c r="AO5" s="1984"/>
      <c r="AP5" s="1985"/>
      <c r="AQ5" s="1986"/>
      <c r="AR5" s="1986"/>
      <c r="AS5" s="1986"/>
      <c r="AT5" s="1986"/>
      <c r="AU5" s="1986"/>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1981" t="str">
        <f>IF(Application!H16="","",Application!H16)</f>
        <v>4575 Scotts Valley Apartments LP</v>
      </c>
      <c r="M6" s="1982"/>
      <c r="N6" s="1982"/>
      <c r="O6" s="1982"/>
      <c r="P6" s="1982"/>
      <c r="Q6" s="1982"/>
      <c r="R6" s="1982"/>
      <c r="S6" s="1982"/>
      <c r="T6" s="1982"/>
      <c r="U6" s="1982"/>
      <c r="V6" s="1982"/>
      <c r="W6" s="1982"/>
      <c r="X6" s="1982"/>
      <c r="Y6" s="1982"/>
      <c r="Z6" s="1982"/>
      <c r="AA6" s="1982"/>
      <c r="AB6" s="1982"/>
      <c r="AC6" s="1983"/>
      <c r="AD6" s="1206"/>
      <c r="AE6" s="1206"/>
      <c r="AF6" s="1987" t="s">
        <v>2457</v>
      </c>
      <c r="AG6" s="1987"/>
      <c r="AH6" s="1987"/>
      <c r="AI6" s="1987"/>
      <c r="AJ6" s="1987"/>
      <c r="AK6" s="1987"/>
      <c r="AL6" s="1987"/>
      <c r="AM6" s="1987"/>
      <c r="AN6" s="1987"/>
      <c r="AO6" s="1987"/>
      <c r="AP6" s="1974">
        <v>0</v>
      </c>
      <c r="AQ6" s="1974"/>
      <c r="AR6" s="1974"/>
      <c r="AS6" s="1974"/>
      <c r="AT6" s="1974"/>
      <c r="AU6" s="1974"/>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1987" t="s">
        <v>2458</v>
      </c>
      <c r="AG7" s="1987"/>
      <c r="AH7" s="1987"/>
      <c r="AI7" s="1987"/>
      <c r="AJ7" s="1987"/>
      <c r="AK7" s="1987"/>
      <c r="AL7" s="1987"/>
      <c r="AM7" s="1987"/>
      <c r="AN7" s="1987"/>
      <c r="AO7" s="1987"/>
      <c r="AP7" s="1974">
        <v>0</v>
      </c>
      <c r="AQ7" s="1974"/>
      <c r="AR7" s="1974"/>
      <c r="AS7" s="1974"/>
      <c r="AT7" s="1974"/>
      <c r="AU7" s="1974"/>
      <c r="AV7" s="1206"/>
      <c r="AW7" s="1206"/>
      <c r="AX7" s="1206"/>
      <c r="AY7" s="1206"/>
      <c r="AZ7" s="1206"/>
      <c r="BA7" s="1206"/>
      <c r="BB7" s="1206"/>
      <c r="BC7" s="1206"/>
      <c r="BD7" s="1206"/>
      <c r="BE7" s="1216"/>
    </row>
    <row r="8" spans="1:65" ht="1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1988" t="str">
        <f>Application!T197</f>
        <v>No</v>
      </c>
      <c r="AC8" s="1989"/>
      <c r="AD8" s="1990"/>
      <c r="AE8" s="1206"/>
      <c r="AF8" s="1987" t="s">
        <v>2459</v>
      </c>
      <c r="AG8" s="1987"/>
      <c r="AH8" s="1987"/>
      <c r="AI8" s="1987"/>
      <c r="AJ8" s="1987"/>
      <c r="AK8" s="1987"/>
      <c r="AL8" s="1987"/>
      <c r="AM8" s="1987"/>
      <c r="AN8" s="1987"/>
      <c r="AO8" s="1987"/>
      <c r="AP8" s="1974" t="s">
        <v>2411</v>
      </c>
      <c r="AQ8" s="1974"/>
      <c r="AR8" s="1974"/>
      <c r="AS8" s="1974"/>
      <c r="AT8" s="1974"/>
      <c r="AU8" s="1974"/>
      <c r="AV8" s="1206"/>
      <c r="AW8" s="1206"/>
      <c r="AX8" s="1206"/>
      <c r="AY8" s="1206"/>
      <c r="AZ8" s="1206"/>
      <c r="BA8" s="1206"/>
      <c r="BB8" s="1206"/>
      <c r="BC8" s="1206"/>
      <c r="BD8" s="1206"/>
      <c r="BE8" s="1216"/>
      <c r="BM8" s="1197" t="s">
        <v>2287</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1984" t="s">
        <v>2616</v>
      </c>
      <c r="AG9" s="1984"/>
      <c r="AH9" s="1984"/>
      <c r="AI9" s="1984"/>
      <c r="AJ9" s="1984"/>
      <c r="AK9" s="1984"/>
      <c r="AL9" s="1984"/>
      <c r="AM9" s="1984"/>
      <c r="AN9" s="1984"/>
      <c r="AO9" s="1984"/>
      <c r="AP9" s="1985"/>
      <c r="AQ9" s="1986"/>
      <c r="AR9" s="1986"/>
      <c r="AS9" s="1986"/>
      <c r="AT9" s="1986"/>
      <c r="AU9" s="1986"/>
      <c r="AV9" s="1206"/>
      <c r="AW9" s="1206"/>
      <c r="AX9" s="1206"/>
      <c r="AY9" s="1206"/>
      <c r="AZ9" s="1206"/>
      <c r="BA9" s="1206"/>
      <c r="BB9" s="1206"/>
      <c r="BC9" s="1206"/>
      <c r="BD9" s="1206"/>
      <c r="BE9" s="1216"/>
      <c r="BM9" s="1197" t="s">
        <v>2460</v>
      </c>
    </row>
    <row r="10" spans="1:65" ht="14.4">
      <c r="A10" s="1212"/>
      <c r="B10" s="1214" t="s">
        <v>1789</v>
      </c>
      <c r="C10" s="1214"/>
      <c r="D10" s="1214"/>
      <c r="E10" s="1214"/>
      <c r="F10" s="1214"/>
      <c r="G10" s="1214"/>
      <c r="H10" s="1214"/>
      <c r="I10" s="1214"/>
      <c r="J10" s="1214"/>
      <c r="K10" s="1214"/>
      <c r="L10" s="1214"/>
      <c r="M10" s="1206"/>
      <c r="N10" s="1999">
        <f>Application!AO627</f>
        <v>34834654</v>
      </c>
      <c r="O10" s="1999"/>
      <c r="P10" s="1999"/>
      <c r="Q10" s="1999"/>
      <c r="R10" s="1999"/>
      <c r="S10" s="1999"/>
      <c r="T10" s="1999"/>
      <c r="U10" s="1206"/>
      <c r="V10" s="1206"/>
      <c r="W10" s="1206"/>
      <c r="X10" s="1255"/>
      <c r="Y10" s="1255"/>
      <c r="Z10" s="1255"/>
      <c r="AA10" s="1255"/>
      <c r="AB10" s="1255"/>
      <c r="AC10" s="1255"/>
      <c r="AD10" s="1255"/>
      <c r="AE10" s="1255"/>
      <c r="AF10" s="1984" t="s">
        <v>2615</v>
      </c>
      <c r="AG10" s="1984"/>
      <c r="AH10" s="1984"/>
      <c r="AI10" s="1984"/>
      <c r="AJ10" s="1984"/>
      <c r="AK10" s="1984"/>
      <c r="AL10" s="1984"/>
      <c r="AM10" s="1984"/>
      <c r="AN10" s="1984"/>
      <c r="AO10" s="1984"/>
      <c r="AP10" s="1985"/>
      <c r="AQ10" s="1986"/>
      <c r="AR10" s="1986"/>
      <c r="AS10" s="1986"/>
      <c r="AT10" s="1986"/>
      <c r="AU10" s="1986"/>
      <c r="AV10" s="1255"/>
      <c r="AW10" s="1255"/>
      <c r="AX10" s="1206"/>
      <c r="AY10" s="1206"/>
      <c r="AZ10" s="1206"/>
      <c r="BA10" s="1206"/>
      <c r="BB10" s="1206"/>
      <c r="BC10" s="1206"/>
      <c r="BD10" s="1206"/>
      <c r="BE10" s="1216"/>
      <c r="BM10" s="1197" t="s">
        <v>2462</v>
      </c>
    </row>
    <row r="11" spans="1:65" ht="14.4">
      <c r="A11" s="1212"/>
      <c r="B11" s="1214" t="s">
        <v>1790</v>
      </c>
      <c r="C11" s="1214"/>
      <c r="D11" s="1214"/>
      <c r="E11" s="1214"/>
      <c r="F11" s="1214"/>
      <c r="G11" s="1214"/>
      <c r="H11" s="1214"/>
      <c r="I11" s="1214"/>
      <c r="J11" s="1214"/>
      <c r="K11" s="1214"/>
      <c r="L11" s="1214"/>
      <c r="M11" s="1206"/>
      <c r="N11" s="1999">
        <f>Application!AA933</f>
        <v>0</v>
      </c>
      <c r="O11" s="1999"/>
      <c r="P11" s="1999"/>
      <c r="Q11" s="1999"/>
      <c r="R11" s="1999"/>
      <c r="S11" s="1999"/>
      <c r="T11" s="1999"/>
      <c r="U11" s="1206"/>
      <c r="V11" s="1206"/>
      <c r="W11" s="1206"/>
      <c r="X11" s="1255"/>
      <c r="Y11" s="1255"/>
      <c r="Z11" s="1255"/>
      <c r="AA11" s="1255"/>
      <c r="AB11" s="1255"/>
      <c r="AC11" s="1255"/>
      <c r="AD11" s="1255"/>
      <c r="AE11" s="1255"/>
      <c r="AF11" s="1984" t="s">
        <v>2614</v>
      </c>
      <c r="AG11" s="1984"/>
      <c r="AH11" s="1984"/>
      <c r="AI11" s="1984"/>
      <c r="AJ11" s="1984"/>
      <c r="AK11" s="1984"/>
      <c r="AL11" s="1984"/>
      <c r="AM11" s="1984"/>
      <c r="AN11" s="1984"/>
      <c r="AO11" s="1984"/>
      <c r="AP11" s="1985"/>
      <c r="AQ11" s="1986"/>
      <c r="AR11" s="1986"/>
      <c r="AS11" s="1986"/>
      <c r="AT11" s="1986"/>
      <c r="AU11" s="1986"/>
      <c r="AV11" s="1255"/>
      <c r="AW11" s="1255"/>
      <c r="AX11" s="1206"/>
      <c r="AY11" s="1206"/>
      <c r="AZ11" s="1206"/>
      <c r="BA11" s="1206"/>
      <c r="BB11" s="1206"/>
      <c r="BC11" s="1206"/>
      <c r="BD11" s="1206"/>
      <c r="BE11" s="1216"/>
      <c r="BM11" s="1197" t="s">
        <v>2411</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2465</v>
      </c>
    </row>
    <row r="13" spans="1:65" ht="15" thickBot="1">
      <c r="A13" s="1206"/>
      <c r="B13" s="2006" t="s">
        <v>1791</v>
      </c>
      <c r="C13" s="2007"/>
      <c r="D13" s="2007"/>
      <c r="E13" s="2007"/>
      <c r="F13" s="2007"/>
      <c r="G13" s="2007"/>
      <c r="H13" s="2007"/>
      <c r="I13" s="2007"/>
      <c r="J13" s="2007"/>
      <c r="K13" s="2007"/>
      <c r="L13" s="2007"/>
      <c r="M13" s="2007"/>
      <c r="N13" s="2007"/>
      <c r="O13" s="2007"/>
      <c r="P13" s="2008"/>
      <c r="Q13" s="2009" t="s">
        <v>676</v>
      </c>
      <c r="R13" s="2010"/>
      <c r="S13" s="2010"/>
      <c r="T13" s="2011"/>
      <c r="U13" s="1255"/>
      <c r="V13" s="1206"/>
      <c r="W13" s="1206"/>
      <c r="X13" s="1206"/>
      <c r="Y13" s="1206"/>
      <c r="Z13" s="1206"/>
      <c r="AA13" s="2000" t="s">
        <v>2461</v>
      </c>
      <c r="AB13" s="2000"/>
      <c r="AC13" s="2000"/>
      <c r="AD13" s="2000"/>
      <c r="AE13" s="2000"/>
      <c r="AF13" s="2000"/>
      <c r="AG13" s="2000"/>
      <c r="AH13" s="2000"/>
      <c r="AI13" s="2000"/>
      <c r="AJ13" s="2000"/>
      <c r="AK13" s="2000"/>
      <c r="AL13" s="2000"/>
      <c r="AM13" s="2000"/>
      <c r="AN13" s="2000"/>
      <c r="AO13" s="2001">
        <f>Application!W473</f>
        <v>15</v>
      </c>
      <c r="AP13" s="2002"/>
      <c r="AQ13" s="2002"/>
      <c r="AR13" s="2002"/>
      <c r="AS13" s="2002"/>
      <c r="AT13" s="1255"/>
      <c r="AU13" s="1255"/>
      <c r="AV13" s="1255"/>
      <c r="AW13" s="1255"/>
      <c r="AX13" s="1255"/>
      <c r="AY13" s="1255"/>
      <c r="AZ13" s="1255"/>
      <c r="BA13" s="1255"/>
      <c r="BB13" s="1255"/>
      <c r="BC13" s="1255"/>
      <c r="BD13" s="1255"/>
      <c r="BE13" s="1202"/>
      <c r="BM13" s="1197" t="s">
        <v>2466</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003" t="s">
        <v>2463</v>
      </c>
      <c r="AB14" s="2003"/>
      <c r="AC14" s="2003"/>
      <c r="AD14" s="2003"/>
      <c r="AE14" s="2003"/>
      <c r="AF14" s="2003"/>
      <c r="AG14" s="2003"/>
      <c r="AH14" s="2003"/>
      <c r="AI14" s="2003"/>
      <c r="AJ14" s="2003"/>
      <c r="AK14" s="2003"/>
      <c r="AL14" s="2003"/>
      <c r="AM14" s="2003"/>
      <c r="AN14" s="2003"/>
      <c r="AO14" s="2004">
        <v>45510</v>
      </c>
      <c r="AP14" s="2005"/>
      <c r="AQ14" s="2005"/>
      <c r="AR14" s="2005"/>
      <c r="AS14" s="2005"/>
      <c r="AT14" s="1255"/>
      <c r="AU14" s="1255"/>
      <c r="AV14" s="1255"/>
      <c r="AW14" s="1255"/>
      <c r="AX14" s="1255"/>
      <c r="AY14" s="1255"/>
      <c r="AZ14" s="1255"/>
      <c r="BA14" s="1255"/>
      <c r="BB14" s="1255"/>
      <c r="BC14" s="1255"/>
      <c r="BD14" s="1255"/>
      <c r="BE14" s="1202"/>
    </row>
    <row r="15" spans="1:65" ht="15" thickBot="1">
      <c r="A15" s="1206"/>
      <c r="B15" s="2012" t="s">
        <v>1792</v>
      </c>
      <c r="C15" s="2013"/>
      <c r="D15" s="2013"/>
      <c r="E15" s="2013"/>
      <c r="F15" s="2013"/>
      <c r="G15" s="2013"/>
      <c r="H15" s="2013"/>
      <c r="I15" s="2013"/>
      <c r="J15" s="2013"/>
      <c r="K15" s="2013"/>
      <c r="L15" s="2013"/>
      <c r="M15" s="2013"/>
      <c r="N15" s="2013"/>
      <c r="O15" s="2013"/>
      <c r="P15" s="2013"/>
      <c r="Q15" s="2013"/>
      <c r="R15" s="2014"/>
      <c r="S15" s="2015" t="str">
        <f>IF(Application!AB214="","",Application!AB214)</f>
        <v/>
      </c>
      <c r="T15" s="2015"/>
      <c r="U15" s="2015"/>
      <c r="V15" s="2015"/>
      <c r="W15" s="2016"/>
      <c r="X15" s="1255"/>
      <c r="Y15" s="1206"/>
      <c r="Z15" s="1206"/>
      <c r="AA15" s="2000" t="s">
        <v>2464</v>
      </c>
      <c r="AB15" s="2000"/>
      <c r="AC15" s="2000"/>
      <c r="AD15" s="2000"/>
      <c r="AE15" s="2000"/>
      <c r="AF15" s="2000"/>
      <c r="AG15" s="2000"/>
      <c r="AH15" s="2000"/>
      <c r="AI15" s="2000"/>
      <c r="AJ15" s="2000"/>
      <c r="AK15" s="2000"/>
      <c r="AL15" s="2000"/>
      <c r="AM15" s="2000"/>
      <c r="AN15" s="2000"/>
      <c r="AO15" s="2004">
        <v>45531</v>
      </c>
      <c r="AP15" s="2005"/>
      <c r="AQ15" s="2005"/>
      <c r="AR15" s="2005"/>
      <c r="AS15" s="2005"/>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017" t="s">
        <v>1793</v>
      </c>
      <c r="C17" s="2018"/>
      <c r="D17" s="2018"/>
      <c r="E17" s="2018"/>
      <c r="F17" s="2018"/>
      <c r="G17" s="2018"/>
      <c r="H17" s="2018"/>
      <c r="I17" s="2018"/>
      <c r="J17" s="2018"/>
      <c r="K17" s="2018"/>
      <c r="L17" s="2018"/>
      <c r="M17" s="2018"/>
      <c r="N17" s="2018"/>
      <c r="O17" s="2018"/>
      <c r="P17" s="2018"/>
      <c r="Q17" s="2018"/>
      <c r="R17" s="2018"/>
      <c r="S17" s="2018"/>
      <c r="T17" s="2018"/>
      <c r="U17" s="2018"/>
      <c r="V17" s="2018"/>
      <c r="W17" s="2018"/>
      <c r="X17" s="2018"/>
      <c r="Y17" s="2018"/>
      <c r="Z17" s="2018"/>
      <c r="AA17" s="2018"/>
      <c r="AB17" s="2018"/>
      <c r="AC17" s="2018"/>
      <c r="AD17" s="2018"/>
      <c r="AE17" s="2018"/>
      <c r="AF17" s="2018"/>
      <c r="AG17" s="2018"/>
      <c r="AH17" s="2018"/>
      <c r="AI17" s="2018"/>
      <c r="AJ17" s="2018"/>
      <c r="AK17" s="2018"/>
      <c r="AL17" s="2018"/>
      <c r="AM17" s="2018"/>
      <c r="AN17" s="2018"/>
      <c r="AO17" s="2018"/>
      <c r="AP17" s="2018"/>
      <c r="AQ17" s="2018"/>
      <c r="AR17" s="2018"/>
      <c r="AS17" s="2018"/>
      <c r="AT17" s="2018"/>
      <c r="AU17" s="2018"/>
      <c r="AV17" s="2018"/>
      <c r="AW17" s="2018"/>
      <c r="AX17" s="2018"/>
      <c r="AY17" s="2019"/>
      <c r="AZ17" s="1206"/>
      <c r="BA17" s="1206"/>
      <c r="BB17" s="1206"/>
      <c r="BC17" s="1206"/>
      <c r="BD17" s="1206"/>
      <c r="BE17" s="1202"/>
      <c r="BF17" s="1198"/>
    </row>
    <row r="18" spans="1:58" ht="15.75" customHeight="1">
      <c r="A18" s="1206"/>
      <c r="B18" s="2020" t="s">
        <v>1794</v>
      </c>
      <c r="C18" s="2021"/>
      <c r="D18" s="2021"/>
      <c r="E18" s="2021"/>
      <c r="F18" s="2021"/>
      <c r="G18" s="2021"/>
      <c r="H18" s="2021"/>
      <c r="I18" s="2022"/>
      <c r="J18" s="2023" t="s">
        <v>1695</v>
      </c>
      <c r="K18" s="2024"/>
      <c r="L18" s="2024"/>
      <c r="M18" s="2024"/>
      <c r="N18" s="2024"/>
      <c r="O18" s="2025"/>
      <c r="P18" s="2023" t="s">
        <v>325</v>
      </c>
      <c r="Q18" s="2024"/>
      <c r="R18" s="2024"/>
      <c r="S18" s="2024"/>
      <c r="T18" s="2024"/>
      <c r="U18" s="2025"/>
      <c r="V18" s="2023" t="s">
        <v>326</v>
      </c>
      <c r="W18" s="2024"/>
      <c r="X18" s="2024"/>
      <c r="Y18" s="2024"/>
      <c r="Z18" s="2024"/>
      <c r="AA18" s="2025"/>
      <c r="AB18" s="2023" t="s">
        <v>163</v>
      </c>
      <c r="AC18" s="2024"/>
      <c r="AD18" s="2024"/>
      <c r="AE18" s="2024"/>
      <c r="AF18" s="2024"/>
      <c r="AG18" s="2025"/>
      <c r="AH18" s="2023" t="s">
        <v>164</v>
      </c>
      <c r="AI18" s="2024"/>
      <c r="AJ18" s="2024"/>
      <c r="AK18" s="2024"/>
      <c r="AL18" s="2024"/>
      <c r="AM18" s="2025"/>
      <c r="AN18" s="2023" t="s">
        <v>165</v>
      </c>
      <c r="AO18" s="2024"/>
      <c r="AP18" s="2024"/>
      <c r="AQ18" s="2024"/>
      <c r="AR18" s="2024"/>
      <c r="AS18" s="2025"/>
      <c r="AT18" s="2023" t="s">
        <v>1795</v>
      </c>
      <c r="AU18" s="2024"/>
      <c r="AV18" s="2024"/>
      <c r="AW18" s="2024"/>
      <c r="AX18" s="2024"/>
      <c r="AY18" s="2026"/>
      <c r="AZ18" s="1206"/>
      <c r="BA18" s="1206"/>
      <c r="BB18" s="1206"/>
      <c r="BC18" s="1206"/>
      <c r="BD18" s="1206"/>
      <c r="BE18" s="1202"/>
    </row>
    <row r="19" spans="1:58" ht="14.4">
      <c r="A19" s="1206"/>
      <c r="B19" s="2027">
        <v>0.3</v>
      </c>
      <c r="C19" s="2028"/>
      <c r="D19" s="2028"/>
      <c r="E19" s="2028"/>
      <c r="F19" s="2028"/>
      <c r="G19" s="2028"/>
      <c r="H19" s="2028"/>
      <c r="I19" s="2029"/>
      <c r="J19" s="2030">
        <f t="shared" ref="J19:J28" si="0">SUM(P19:AS19)</f>
        <v>22</v>
      </c>
      <c r="K19" s="2031"/>
      <c r="L19" s="2031"/>
      <c r="M19" s="2031"/>
      <c r="N19" s="2031"/>
      <c r="O19" s="2032"/>
      <c r="P19" s="2030" cm="1">
        <f t="array" ref="P19">SUMPRODUCT((Application!$B$718:$B$752 = 'CalHFA Addendum'!P$18)*(Application!$AC$718:$AC$752 = 'CalHFA Addendum'!$B19),Application!$G$718:$G$752)</f>
        <v>0</v>
      </c>
      <c r="Q19" s="2031"/>
      <c r="R19" s="2031"/>
      <c r="S19" s="2031"/>
      <c r="T19" s="2031"/>
      <c r="U19" s="2032"/>
      <c r="V19" s="2030" cm="1">
        <f t="array" ref="V19">SUMPRODUCT((Application!$B$714:$B$738 = 'CalHFA Addendum'!V$18)*(Application!$AC$714:$AC$738 = 'CalHFA Addendum'!$B19),Application!$G$714:$G$738)</f>
        <v>10</v>
      </c>
      <c r="W19" s="2031"/>
      <c r="X19" s="2031"/>
      <c r="Y19" s="2031"/>
      <c r="Z19" s="2031"/>
      <c r="AA19" s="2032"/>
      <c r="AB19" s="2030" cm="1">
        <f t="array" ref="AB19">SUMPRODUCT((Application!$B$714:$B$738 = 'CalHFA Addendum'!AB$18)*(Application!$AC$714:$AC$738 = 'CalHFA Addendum'!$B19),Application!$G$714:$G$738)</f>
        <v>8</v>
      </c>
      <c r="AC19" s="2031"/>
      <c r="AD19" s="2031"/>
      <c r="AE19" s="2031"/>
      <c r="AF19" s="2031"/>
      <c r="AG19" s="2032"/>
      <c r="AH19" s="2030" cm="1">
        <f t="array" ref="AH19">SUMPRODUCT((Application!$B$714:$B$738 = 'CalHFA Addendum'!AH$18)*(Application!$AC$714:$AC$738 = 'CalHFA Addendum'!$B19),Application!$G$714:$G$738)</f>
        <v>4</v>
      </c>
      <c r="AI19" s="2031"/>
      <c r="AJ19" s="2031"/>
      <c r="AK19" s="2031"/>
      <c r="AL19" s="2031"/>
      <c r="AM19" s="2032"/>
      <c r="AN19" s="2030" cm="1">
        <f t="array" ref="AN19">SUMPRODUCT((Application!$B$714:$B$738 = 'CalHFA Addendum'!AN$18)*(Application!$AC$714:$AC$738 = 'CalHFA Addendum'!$B19),Application!$G$714:$G$738)</f>
        <v>0</v>
      </c>
      <c r="AO19" s="2031"/>
      <c r="AP19" s="2031"/>
      <c r="AQ19" s="2031"/>
      <c r="AR19" s="2031"/>
      <c r="AS19" s="2032"/>
      <c r="AT19" s="2033">
        <f t="shared" ref="AT19:AT29" si="1">J19/$J$29</f>
        <v>0.22222222222222221</v>
      </c>
      <c r="AU19" s="2034"/>
      <c r="AV19" s="2034"/>
      <c r="AW19" s="2034"/>
      <c r="AX19" s="2034"/>
      <c r="AY19" s="2035"/>
      <c r="AZ19" s="1217"/>
      <c r="BA19" s="1206"/>
      <c r="BB19" s="1206"/>
      <c r="BC19" s="1206"/>
      <c r="BD19" s="1206"/>
      <c r="BE19" s="1202"/>
    </row>
    <row r="20" spans="1:58" ht="15" customHeight="1">
      <c r="A20" s="1206"/>
      <c r="B20" s="2027">
        <v>0.4</v>
      </c>
      <c r="C20" s="2028"/>
      <c r="D20" s="2028"/>
      <c r="E20" s="2028"/>
      <c r="F20" s="2028"/>
      <c r="G20" s="2028"/>
      <c r="H20" s="2028"/>
      <c r="I20" s="2029"/>
      <c r="J20" s="2030">
        <f t="shared" si="0"/>
        <v>0</v>
      </c>
      <c r="K20" s="2031"/>
      <c r="L20" s="2031"/>
      <c r="M20" s="2031"/>
      <c r="N20" s="2031"/>
      <c r="O20" s="2032"/>
      <c r="P20" s="2030" cm="1">
        <f t="array" ref="P20">SUMPRODUCT((Application!$B$718:$B$752 = 'CalHFA Addendum'!P$18)*(Application!$AC$718:$AC$752 = 'CalHFA Addendum'!$B20),Application!$G$718:$G$752)</f>
        <v>0</v>
      </c>
      <c r="Q20" s="2031"/>
      <c r="R20" s="2031"/>
      <c r="S20" s="2031"/>
      <c r="T20" s="2031"/>
      <c r="U20" s="2032"/>
      <c r="V20" s="2030" cm="1">
        <f t="array" ref="V20">SUMPRODUCT((Application!$B$714:$B$738 = 'CalHFA Addendum'!V$18)*(Application!$AC$714:$AC$738 = 'CalHFA Addendum'!$B20),Application!$G$714:$G$738)</f>
        <v>0</v>
      </c>
      <c r="W20" s="2031"/>
      <c r="X20" s="2031"/>
      <c r="Y20" s="2031"/>
      <c r="Z20" s="2031"/>
      <c r="AA20" s="2032"/>
      <c r="AB20" s="2030" cm="1">
        <f t="array" ref="AB20">SUMPRODUCT((Application!$B$714:$B$738 = 'CalHFA Addendum'!AB$18)*(Application!$AC$714:$AC$738 = 'CalHFA Addendum'!$B20),Application!$G$714:$G$738)</f>
        <v>0</v>
      </c>
      <c r="AC20" s="2031"/>
      <c r="AD20" s="2031"/>
      <c r="AE20" s="2031"/>
      <c r="AF20" s="2031"/>
      <c r="AG20" s="2032"/>
      <c r="AH20" s="2030" cm="1">
        <f t="array" ref="AH20">SUMPRODUCT((Application!$B$714:$B$738 = 'CalHFA Addendum'!AH$18)*(Application!$AC$714:$AC$738 = 'CalHFA Addendum'!$B20),Application!$G$714:$G$738)</f>
        <v>0</v>
      </c>
      <c r="AI20" s="2031"/>
      <c r="AJ20" s="2031"/>
      <c r="AK20" s="2031"/>
      <c r="AL20" s="2031"/>
      <c r="AM20" s="2032"/>
      <c r="AN20" s="2030" cm="1">
        <f t="array" ref="AN20">SUMPRODUCT((Application!$B$714:$B$738 = 'CalHFA Addendum'!AN$18)*(Application!$AC$714:$AC$738 = 'CalHFA Addendum'!$B20),Application!$G$714:$G$738)</f>
        <v>0</v>
      </c>
      <c r="AO20" s="2031"/>
      <c r="AP20" s="2031"/>
      <c r="AQ20" s="2031"/>
      <c r="AR20" s="2031"/>
      <c r="AS20" s="2032"/>
      <c r="AT20" s="2033">
        <f t="shared" si="1"/>
        <v>0</v>
      </c>
      <c r="AU20" s="2034"/>
      <c r="AV20" s="2034"/>
      <c r="AW20" s="2034"/>
      <c r="AX20" s="2034"/>
      <c r="AY20" s="2035"/>
      <c r="AZ20" s="1206"/>
      <c r="BA20" s="1206"/>
      <c r="BB20" s="1206"/>
      <c r="BC20" s="1206"/>
      <c r="BD20" s="1206"/>
      <c r="BE20" s="1202"/>
    </row>
    <row r="21" spans="1:58" ht="14.4">
      <c r="A21" s="1206"/>
      <c r="B21" s="2027">
        <v>0.5</v>
      </c>
      <c r="C21" s="2028"/>
      <c r="D21" s="2028"/>
      <c r="E21" s="2028"/>
      <c r="F21" s="2028"/>
      <c r="G21" s="2028"/>
      <c r="H21" s="2028"/>
      <c r="I21" s="2029"/>
      <c r="J21" s="2030">
        <f t="shared" si="0"/>
        <v>21</v>
      </c>
      <c r="K21" s="2031"/>
      <c r="L21" s="2031"/>
      <c r="M21" s="2031"/>
      <c r="N21" s="2031"/>
      <c r="O21" s="2032"/>
      <c r="P21" s="2030" cm="1">
        <f t="array" ref="P21">SUMPRODUCT((Application!$B$714:$B$738 = 'CalHFA Addendum'!P$18)*(Application!$AC$714:$AC$738 = 'CalHFA Addendum'!$B21),Application!$G$714:$G$738)</f>
        <v>0</v>
      </c>
      <c r="Q21" s="2031"/>
      <c r="R21" s="2031"/>
      <c r="S21" s="2031"/>
      <c r="T21" s="2031"/>
      <c r="U21" s="2032"/>
      <c r="V21" s="2030" cm="1">
        <f t="array" ref="V21">SUMPRODUCT((Application!$B$714:$B$738 = 'CalHFA Addendum'!V$18)*(Application!$AC$714:$AC$738 = 'CalHFA Addendum'!$B21),Application!$G$714:$G$738)</f>
        <v>10</v>
      </c>
      <c r="W21" s="2031"/>
      <c r="X21" s="2031"/>
      <c r="Y21" s="2031"/>
      <c r="Z21" s="2031"/>
      <c r="AA21" s="2032"/>
      <c r="AB21" s="2030" cm="1">
        <f t="array" ref="AB21">SUMPRODUCT((Application!$B$714:$B$738 = 'CalHFA Addendum'!AB$18)*(Application!$AC$714:$AC$738 = 'CalHFA Addendum'!$B21),Application!$G$714:$G$738)</f>
        <v>7</v>
      </c>
      <c r="AC21" s="2031"/>
      <c r="AD21" s="2031"/>
      <c r="AE21" s="2031"/>
      <c r="AF21" s="2031"/>
      <c r="AG21" s="2032"/>
      <c r="AH21" s="2030" cm="1">
        <f t="array" ref="AH21">SUMPRODUCT((Application!$B$714:$B$738 = 'CalHFA Addendum'!AH$18)*(Application!$AC$714:$AC$738 = 'CalHFA Addendum'!$B21),Application!$G$714:$G$738)</f>
        <v>4</v>
      </c>
      <c r="AI21" s="2031"/>
      <c r="AJ21" s="2031"/>
      <c r="AK21" s="2031"/>
      <c r="AL21" s="2031"/>
      <c r="AM21" s="2032"/>
      <c r="AN21" s="2030" cm="1">
        <f t="array" ref="AN21">SUMPRODUCT((Application!$B$714:$B$738 = 'CalHFA Addendum'!AN$18)*(Application!$AC$714:$AC$738 = 'CalHFA Addendum'!$B21),Application!$G$714:$G$738)</f>
        <v>0</v>
      </c>
      <c r="AO21" s="2031"/>
      <c r="AP21" s="2031"/>
      <c r="AQ21" s="2031"/>
      <c r="AR21" s="2031"/>
      <c r="AS21" s="2032"/>
      <c r="AT21" s="2033">
        <f t="shared" si="1"/>
        <v>0.21212121212121213</v>
      </c>
      <c r="AU21" s="2034"/>
      <c r="AV21" s="2034"/>
      <c r="AW21" s="2034"/>
      <c r="AX21" s="2034"/>
      <c r="AY21" s="2035"/>
      <c r="AZ21" s="1206"/>
      <c r="BA21" s="1206"/>
      <c r="BB21" s="1206"/>
      <c r="BC21" s="1206"/>
      <c r="BD21" s="1206"/>
      <c r="BE21" s="1202"/>
    </row>
    <row r="22" spans="1:58" ht="14.4">
      <c r="A22" s="1206"/>
      <c r="B22" s="2027">
        <v>0.6</v>
      </c>
      <c r="C22" s="2028"/>
      <c r="D22" s="2028"/>
      <c r="E22" s="2028"/>
      <c r="F22" s="2028"/>
      <c r="G22" s="2028"/>
      <c r="H22" s="2028"/>
      <c r="I22" s="2029"/>
      <c r="J22" s="2030">
        <f t="shared" si="0"/>
        <v>1</v>
      </c>
      <c r="K22" s="2031"/>
      <c r="L22" s="2031"/>
      <c r="M22" s="2031"/>
      <c r="N22" s="2031"/>
      <c r="O22" s="2032"/>
      <c r="P22" s="2030" cm="1">
        <f t="array" ref="P22">SUMPRODUCT((Application!$B$714:$B$738 = 'CalHFA Addendum'!P$18)*(Application!$AC$714:$AC$738 = 'CalHFA Addendum'!$B22),Application!$G$714:$G$738)</f>
        <v>0</v>
      </c>
      <c r="Q22" s="2031"/>
      <c r="R22" s="2031"/>
      <c r="S22" s="2031"/>
      <c r="T22" s="2031"/>
      <c r="U22" s="2032"/>
      <c r="V22" s="2030" cm="1">
        <f t="array" ref="V22">SUMPRODUCT((Application!$B$714:$B$738 = 'CalHFA Addendum'!V$18)*(Application!$AC$714:$AC$738 = 'CalHFA Addendum'!$B22),Application!$G$714:$G$738)</f>
        <v>1</v>
      </c>
      <c r="W22" s="2031"/>
      <c r="X22" s="2031"/>
      <c r="Y22" s="2031"/>
      <c r="Z22" s="2031"/>
      <c r="AA22" s="2032"/>
      <c r="AB22" s="2030" cm="1">
        <f t="array" ref="AB22">SUMPRODUCT((Application!$B$714:$B$738 = 'CalHFA Addendum'!AB$18)*(Application!$AC$714:$AC$738 = 'CalHFA Addendum'!$B22),Application!$G$714:$G$738)</f>
        <v>0</v>
      </c>
      <c r="AC22" s="2031"/>
      <c r="AD22" s="2031"/>
      <c r="AE22" s="2031"/>
      <c r="AF22" s="2031"/>
      <c r="AG22" s="2032"/>
      <c r="AH22" s="2030" cm="1">
        <f t="array" ref="AH22">SUMPRODUCT((Application!$B$714:$B$738 = 'CalHFA Addendum'!AH$18)*(Application!$AC$714:$AC$738 = 'CalHFA Addendum'!$B22),Application!$G$714:$G$738)</f>
        <v>0</v>
      </c>
      <c r="AI22" s="2031"/>
      <c r="AJ22" s="2031"/>
      <c r="AK22" s="2031"/>
      <c r="AL22" s="2031"/>
      <c r="AM22" s="2032"/>
      <c r="AN22" s="2030" cm="1">
        <f t="array" ref="AN22">SUMPRODUCT((Application!$B$714:$B$738 = 'CalHFA Addendum'!AN$18)*(Application!$AC$714:$AC$738 = 'CalHFA Addendum'!$B22),Application!$G$714:$G$738)</f>
        <v>0</v>
      </c>
      <c r="AO22" s="2031"/>
      <c r="AP22" s="2031"/>
      <c r="AQ22" s="2031"/>
      <c r="AR22" s="2031"/>
      <c r="AS22" s="2032"/>
      <c r="AT22" s="2033">
        <f t="shared" si="1"/>
        <v>1.0101010101010102E-2</v>
      </c>
      <c r="AU22" s="2034"/>
      <c r="AV22" s="2034"/>
      <c r="AW22" s="2034"/>
      <c r="AX22" s="2034"/>
      <c r="AY22" s="2035"/>
      <c r="AZ22" s="1206"/>
      <c r="BA22" s="1206"/>
      <c r="BB22" s="1206"/>
      <c r="BC22" s="1206"/>
      <c r="BD22" s="1206"/>
      <c r="BE22" s="1202"/>
    </row>
    <row r="23" spans="1:58" ht="14.4">
      <c r="A23" s="1206"/>
      <c r="B23" s="2027">
        <v>0.7</v>
      </c>
      <c r="C23" s="2028"/>
      <c r="D23" s="2028"/>
      <c r="E23" s="2028"/>
      <c r="F23" s="2028"/>
      <c r="G23" s="2028"/>
      <c r="H23" s="2028"/>
      <c r="I23" s="2029"/>
      <c r="J23" s="2030">
        <f t="shared" si="0"/>
        <v>55</v>
      </c>
      <c r="K23" s="2031"/>
      <c r="L23" s="2031"/>
      <c r="M23" s="2031"/>
      <c r="N23" s="2031"/>
      <c r="O23" s="2032"/>
      <c r="P23" s="2030" cm="1">
        <f t="array" ref="P23">SUMPRODUCT((Application!$B$714:$B$738 = 'CalHFA Addendum'!P$18)*(Application!$AC$714:$AC$738 = 'CalHFA Addendum'!$B23),Application!$G$714:$G$738)</f>
        <v>0</v>
      </c>
      <c r="Q23" s="2031"/>
      <c r="R23" s="2031"/>
      <c r="S23" s="2031"/>
      <c r="T23" s="2031"/>
      <c r="U23" s="2032"/>
      <c r="V23" s="2030" cm="1">
        <f t="array" ref="V23">SUMPRODUCT((Application!$B$714:$B$738 = 'CalHFA Addendum'!V$18)*(Application!$AC$714:$AC$738 = 'CalHFA Addendum'!$B23),Application!$G$714:$G$738)</f>
        <v>0</v>
      </c>
      <c r="W23" s="2031"/>
      <c r="X23" s="2031"/>
      <c r="Y23" s="2031"/>
      <c r="Z23" s="2031"/>
      <c r="AA23" s="2032"/>
      <c r="AB23" s="2030" cm="1">
        <f t="array" ref="AB23">SUMPRODUCT((Application!$B$714:$B$738 = 'CalHFA Addendum'!AB$18)*(Application!$AC$714:$AC$738 = 'CalHFA Addendum'!$B23),Application!$G$714:$G$738)</f>
        <v>25</v>
      </c>
      <c r="AC23" s="2031"/>
      <c r="AD23" s="2031"/>
      <c r="AE23" s="2031"/>
      <c r="AF23" s="2031"/>
      <c r="AG23" s="2032"/>
      <c r="AH23" s="2030" cm="1">
        <f t="array" ref="AH23">SUMPRODUCT((Application!$B$714:$B$738 = 'CalHFA Addendum'!AH$18)*(Application!$AC$714:$AC$738 = 'CalHFA Addendum'!$B23),Application!$G$714:$G$738)</f>
        <v>30</v>
      </c>
      <c r="AI23" s="2031"/>
      <c r="AJ23" s="2031"/>
      <c r="AK23" s="2031"/>
      <c r="AL23" s="2031"/>
      <c r="AM23" s="2032"/>
      <c r="AN23" s="2030" cm="1">
        <f t="array" ref="AN23">SUMPRODUCT((Application!$B$714:$B$738 = 'CalHFA Addendum'!AN$18)*(Application!$AC$714:$AC$738 = 'CalHFA Addendum'!$B23),Application!$G$714:$G$738)</f>
        <v>0</v>
      </c>
      <c r="AO23" s="2031"/>
      <c r="AP23" s="2031"/>
      <c r="AQ23" s="2031"/>
      <c r="AR23" s="2031"/>
      <c r="AS23" s="2032"/>
      <c r="AT23" s="2033">
        <f t="shared" si="1"/>
        <v>0.55555555555555558</v>
      </c>
      <c r="AU23" s="2034"/>
      <c r="AV23" s="2034"/>
      <c r="AW23" s="2034"/>
      <c r="AX23" s="2034"/>
      <c r="AY23" s="2035"/>
      <c r="AZ23" s="1206"/>
      <c r="BA23" s="1206"/>
      <c r="BB23" s="1206"/>
      <c r="BC23" s="1206"/>
      <c r="BD23" s="1206"/>
      <c r="BE23" s="1202"/>
    </row>
    <row r="24" spans="1:58" ht="14.4">
      <c r="A24" s="1206"/>
      <c r="B24" s="2027">
        <v>0.8</v>
      </c>
      <c r="C24" s="2028"/>
      <c r="D24" s="2028"/>
      <c r="E24" s="2028"/>
      <c r="F24" s="2028"/>
      <c r="G24" s="2028"/>
      <c r="H24" s="2028"/>
      <c r="I24" s="2029"/>
      <c r="J24" s="2030">
        <f t="shared" si="0"/>
        <v>0</v>
      </c>
      <c r="K24" s="2031"/>
      <c r="L24" s="2031"/>
      <c r="M24" s="2031"/>
      <c r="N24" s="2031"/>
      <c r="O24" s="2032"/>
      <c r="P24" s="2030" cm="1">
        <f t="array" ref="P24">SUMPRODUCT((Application!$B$714:$B$738 = 'CalHFA Addendum'!P$18)*(Application!$AC$714:$AC$738 = 'CalHFA Addendum'!$B24),Application!$G$714:$G$738)</f>
        <v>0</v>
      </c>
      <c r="Q24" s="2031"/>
      <c r="R24" s="2031"/>
      <c r="S24" s="2031"/>
      <c r="T24" s="2031"/>
      <c r="U24" s="2032"/>
      <c r="V24" s="2030" cm="1">
        <f t="array" ref="V24">SUMPRODUCT((Application!$B$714:$B$738 = 'CalHFA Addendum'!V$18)*(Application!$AC$714:$AC$738 = 'CalHFA Addendum'!$B24),Application!$G$714:$G$738)</f>
        <v>0</v>
      </c>
      <c r="W24" s="2031"/>
      <c r="X24" s="2031"/>
      <c r="Y24" s="2031"/>
      <c r="Z24" s="2031"/>
      <c r="AA24" s="2032"/>
      <c r="AB24" s="2030" cm="1">
        <f t="array" ref="AB24">SUMPRODUCT((Application!$B$714:$B$738 = 'CalHFA Addendum'!AB$18)*(Application!$AC$714:$AC$738 = 'CalHFA Addendum'!$B24),Application!$G$714:$G$738)</f>
        <v>0</v>
      </c>
      <c r="AC24" s="2031"/>
      <c r="AD24" s="2031"/>
      <c r="AE24" s="2031"/>
      <c r="AF24" s="2031"/>
      <c r="AG24" s="2032"/>
      <c r="AH24" s="2030" cm="1">
        <f t="array" ref="AH24">SUMPRODUCT((Application!$B$714:$B$738 = 'CalHFA Addendum'!AH$18)*(Application!$AC$714:$AC$738 = 'CalHFA Addendum'!$B24),Application!$G$714:$G$738)</f>
        <v>0</v>
      </c>
      <c r="AI24" s="2031"/>
      <c r="AJ24" s="2031"/>
      <c r="AK24" s="2031"/>
      <c r="AL24" s="2031"/>
      <c r="AM24" s="2032"/>
      <c r="AN24" s="2030" cm="1">
        <f t="array" ref="AN24">SUMPRODUCT((Application!$B$714:$B$738 = 'CalHFA Addendum'!AN$18)*(Application!$AC$714:$AC$738 = 'CalHFA Addendum'!$B24),Application!$G$714:$G$738)</f>
        <v>0</v>
      </c>
      <c r="AO24" s="2031"/>
      <c r="AP24" s="2031"/>
      <c r="AQ24" s="2031"/>
      <c r="AR24" s="2031"/>
      <c r="AS24" s="2032"/>
      <c r="AT24" s="2033">
        <f t="shared" si="1"/>
        <v>0</v>
      </c>
      <c r="AU24" s="2034"/>
      <c r="AV24" s="2034"/>
      <c r="AW24" s="2034"/>
      <c r="AX24" s="2034"/>
      <c r="AY24" s="2035"/>
      <c r="AZ24" s="1206"/>
      <c r="BA24" s="1206"/>
      <c r="BB24" s="1206"/>
      <c r="BC24" s="1206"/>
      <c r="BD24" s="1206"/>
      <c r="BE24" s="1202"/>
    </row>
    <row r="25" spans="1:58" ht="14.4">
      <c r="A25" s="1206"/>
      <c r="B25" s="2027">
        <v>0.9</v>
      </c>
      <c r="C25" s="2028"/>
      <c r="D25" s="2028"/>
      <c r="E25" s="2028"/>
      <c r="F25" s="2028"/>
      <c r="G25" s="2028"/>
      <c r="H25" s="2028"/>
      <c r="I25" s="2029"/>
      <c r="J25" s="2030">
        <f t="shared" si="0"/>
        <v>0</v>
      </c>
      <c r="K25" s="2031"/>
      <c r="L25" s="2031"/>
      <c r="M25" s="2031"/>
      <c r="N25" s="2031"/>
      <c r="O25" s="2032"/>
      <c r="P25" s="2030" cm="1">
        <f t="array" ref="P25">SUMPRODUCT((Application!$B$714:$B$738 = 'CalHFA Addendum'!P$18)*(Application!$AC$714:$AC$738 = 'CalHFA Addendum'!$B25),Application!$G$714:$G$738)</f>
        <v>0</v>
      </c>
      <c r="Q25" s="2031"/>
      <c r="R25" s="2031"/>
      <c r="S25" s="2031"/>
      <c r="T25" s="2031"/>
      <c r="U25" s="2032"/>
      <c r="V25" s="2030" cm="1">
        <f t="array" ref="V25">SUMPRODUCT((Application!$B$714:$B$738 = 'CalHFA Addendum'!V$18)*(Application!$AC$714:$AC$738 = 'CalHFA Addendum'!$B25),Application!$G$714:$G$738)</f>
        <v>0</v>
      </c>
      <c r="W25" s="2031"/>
      <c r="X25" s="2031"/>
      <c r="Y25" s="2031"/>
      <c r="Z25" s="2031"/>
      <c r="AA25" s="2032"/>
      <c r="AB25" s="2030" cm="1">
        <f t="array" ref="AB25">SUMPRODUCT((Application!$B$714:$B$738 = 'CalHFA Addendum'!AB$18)*(Application!$AC$714:$AC$738 = 'CalHFA Addendum'!$B25),Application!$G$714:$G$738)</f>
        <v>0</v>
      </c>
      <c r="AC25" s="2031"/>
      <c r="AD25" s="2031"/>
      <c r="AE25" s="2031"/>
      <c r="AF25" s="2031"/>
      <c r="AG25" s="2032"/>
      <c r="AH25" s="2030" cm="1">
        <f t="array" ref="AH25">SUMPRODUCT((Application!$B$714:$B$738 = 'CalHFA Addendum'!AH$18)*(Application!$AC$714:$AC$738 = 'CalHFA Addendum'!$B25),Application!$G$714:$G$738)</f>
        <v>0</v>
      </c>
      <c r="AI25" s="2031"/>
      <c r="AJ25" s="2031"/>
      <c r="AK25" s="2031"/>
      <c r="AL25" s="2031"/>
      <c r="AM25" s="2032"/>
      <c r="AN25" s="2030" cm="1">
        <f t="array" ref="AN25">SUMPRODUCT((Application!$B$714:$B$738 = 'CalHFA Addendum'!AN$18)*(Application!$AC$714:$AC$738 = 'CalHFA Addendum'!$B25),Application!$G$714:$G$738)</f>
        <v>0</v>
      </c>
      <c r="AO25" s="2031"/>
      <c r="AP25" s="2031"/>
      <c r="AQ25" s="2031"/>
      <c r="AR25" s="2031"/>
      <c r="AS25" s="2032"/>
      <c r="AT25" s="2033">
        <f t="shared" si="1"/>
        <v>0</v>
      </c>
      <c r="AU25" s="2034"/>
      <c r="AV25" s="2034"/>
      <c r="AW25" s="2034"/>
      <c r="AX25" s="2034"/>
      <c r="AY25" s="2035"/>
      <c r="AZ25" s="1206"/>
      <c r="BA25" s="1206"/>
      <c r="BB25" s="1206"/>
      <c r="BC25" s="1206"/>
      <c r="BD25" s="1206"/>
      <c r="BE25" s="1202"/>
    </row>
    <row r="26" spans="1:58" ht="14.4">
      <c r="A26" s="1206"/>
      <c r="B26" s="2027">
        <v>1</v>
      </c>
      <c r="C26" s="2028"/>
      <c r="D26" s="2028"/>
      <c r="E26" s="2028"/>
      <c r="F26" s="2028"/>
      <c r="G26" s="2028"/>
      <c r="H26" s="2028"/>
      <c r="I26" s="2029"/>
      <c r="J26" s="2030">
        <f t="shared" si="0"/>
        <v>0</v>
      </c>
      <c r="K26" s="2031"/>
      <c r="L26" s="2031"/>
      <c r="M26" s="2031"/>
      <c r="N26" s="2031"/>
      <c r="O26" s="2032"/>
      <c r="P26" s="2030" cm="1">
        <f t="array" ref="P26">SUMPRODUCT((Application!$B$714:$B$738 = 'CalHFA Addendum'!P$18)*(Application!$AC$714:$AC$738 = 'CalHFA Addendum'!$B26),Application!$G$714:$G$738)</f>
        <v>0</v>
      </c>
      <c r="Q26" s="2031"/>
      <c r="R26" s="2031"/>
      <c r="S26" s="2031"/>
      <c r="T26" s="2031"/>
      <c r="U26" s="2032"/>
      <c r="V26" s="2030" cm="1">
        <f t="array" ref="V26">SUMPRODUCT((Application!$B$714:$B$738 = 'CalHFA Addendum'!V$18)*(Application!$AC$714:$AC$738 = 'CalHFA Addendum'!$B26),Application!$G$714:$G$738)</f>
        <v>0</v>
      </c>
      <c r="W26" s="2031"/>
      <c r="X26" s="2031"/>
      <c r="Y26" s="2031"/>
      <c r="Z26" s="2031"/>
      <c r="AA26" s="2032"/>
      <c r="AB26" s="2030" cm="1">
        <f t="array" ref="AB26">SUMPRODUCT((Application!$B$714:$B$738 = 'CalHFA Addendum'!AB$18)*(Application!$AC$714:$AC$738 = 'CalHFA Addendum'!$B26),Application!$G$714:$G$738)</f>
        <v>0</v>
      </c>
      <c r="AC26" s="2031"/>
      <c r="AD26" s="2031"/>
      <c r="AE26" s="2031"/>
      <c r="AF26" s="2031"/>
      <c r="AG26" s="2032"/>
      <c r="AH26" s="2030" cm="1">
        <f t="array" ref="AH26">SUMPRODUCT((Application!$B$714:$B$738 = 'CalHFA Addendum'!AH$18)*(Application!$AC$714:$AC$738 = 'CalHFA Addendum'!$B26),Application!$G$714:$G$738)</f>
        <v>0</v>
      </c>
      <c r="AI26" s="2031"/>
      <c r="AJ26" s="2031"/>
      <c r="AK26" s="2031"/>
      <c r="AL26" s="2031"/>
      <c r="AM26" s="2032"/>
      <c r="AN26" s="2030" cm="1">
        <f t="array" ref="AN26">SUMPRODUCT((Application!$B$714:$B$738 = 'CalHFA Addendum'!AN$18)*(Application!$AC$714:$AC$738 = 'CalHFA Addendum'!$B26),Application!$G$714:$G$738)</f>
        <v>0</v>
      </c>
      <c r="AO26" s="2031"/>
      <c r="AP26" s="2031"/>
      <c r="AQ26" s="2031"/>
      <c r="AR26" s="2031"/>
      <c r="AS26" s="2032"/>
      <c r="AT26" s="2033">
        <f t="shared" si="1"/>
        <v>0</v>
      </c>
      <c r="AU26" s="2034"/>
      <c r="AV26" s="2034"/>
      <c r="AW26" s="2034"/>
      <c r="AX26" s="2034"/>
      <c r="AY26" s="2035"/>
      <c r="AZ26" s="1206"/>
      <c r="BA26" s="1206"/>
      <c r="BB26" s="1206"/>
      <c r="BC26" s="1206"/>
      <c r="BD26" s="1206"/>
      <c r="BE26" s="1202"/>
    </row>
    <row r="27" spans="1:58" ht="14.4">
      <c r="A27" s="1206"/>
      <c r="B27" s="2027">
        <v>1.1000000000000001</v>
      </c>
      <c r="C27" s="2028"/>
      <c r="D27" s="2028"/>
      <c r="E27" s="2028"/>
      <c r="F27" s="2028"/>
      <c r="G27" s="2028"/>
      <c r="H27" s="2028"/>
      <c r="I27" s="2029"/>
      <c r="J27" s="2030">
        <f t="shared" si="0"/>
        <v>0</v>
      </c>
      <c r="K27" s="2031"/>
      <c r="L27" s="2031"/>
      <c r="M27" s="2031"/>
      <c r="N27" s="2031"/>
      <c r="O27" s="2032"/>
      <c r="P27" s="2030" cm="1">
        <f t="array" ref="P27">SUMPRODUCT((Application!$B$714:$B$738 = 'CalHFA Addendum'!P$18)*(Application!$AC$714:$AC$738 = 'CalHFA Addendum'!$B27),Application!$G$714:$G$738)</f>
        <v>0</v>
      </c>
      <c r="Q27" s="2031"/>
      <c r="R27" s="2031"/>
      <c r="S27" s="2031"/>
      <c r="T27" s="2031"/>
      <c r="U27" s="2032"/>
      <c r="V27" s="2030" cm="1">
        <f t="array" ref="V27">SUMPRODUCT((Application!$B$714:$B$738 = 'CalHFA Addendum'!V$18)*(Application!$AC$714:$AC$738 = 'CalHFA Addendum'!$B27),Application!$G$714:$G$738)</f>
        <v>0</v>
      </c>
      <c r="W27" s="2031"/>
      <c r="X27" s="2031"/>
      <c r="Y27" s="2031"/>
      <c r="Z27" s="2031"/>
      <c r="AA27" s="2032"/>
      <c r="AB27" s="2030" cm="1">
        <f t="array" ref="AB27">SUMPRODUCT((Application!$B$714:$B$738 = 'CalHFA Addendum'!AB$18)*(Application!$AC$714:$AC$738 = 'CalHFA Addendum'!$B27),Application!$G$714:$G$738)</f>
        <v>0</v>
      </c>
      <c r="AC27" s="2031"/>
      <c r="AD27" s="2031"/>
      <c r="AE27" s="2031"/>
      <c r="AF27" s="2031"/>
      <c r="AG27" s="2032"/>
      <c r="AH27" s="2030" cm="1">
        <f t="array" ref="AH27">SUMPRODUCT((Application!$B$714:$B$738 = 'CalHFA Addendum'!AH$18)*(Application!$AC$714:$AC$738 = 'CalHFA Addendum'!$B27),Application!$G$714:$G$738)</f>
        <v>0</v>
      </c>
      <c r="AI27" s="2031"/>
      <c r="AJ27" s="2031"/>
      <c r="AK27" s="2031"/>
      <c r="AL27" s="2031"/>
      <c r="AM27" s="2032"/>
      <c r="AN27" s="2030" cm="1">
        <f t="array" ref="AN27">SUMPRODUCT((Application!$B$714:$B$738 = 'CalHFA Addendum'!AN$18)*(Application!$AC$714:$AC$738 = 'CalHFA Addendum'!$B27),Application!$G$714:$G$738)</f>
        <v>0</v>
      </c>
      <c r="AO27" s="2031"/>
      <c r="AP27" s="2031"/>
      <c r="AQ27" s="2031"/>
      <c r="AR27" s="2031"/>
      <c r="AS27" s="2032"/>
      <c r="AT27" s="2033">
        <f t="shared" si="1"/>
        <v>0</v>
      </c>
      <c r="AU27" s="2034"/>
      <c r="AV27" s="2034"/>
      <c r="AW27" s="2034"/>
      <c r="AX27" s="2034"/>
      <c r="AY27" s="2035"/>
      <c r="AZ27" s="1206"/>
      <c r="BA27" s="1206"/>
      <c r="BB27" s="1206"/>
      <c r="BC27" s="1206"/>
      <c r="BD27" s="1206"/>
      <c r="BE27" s="1202"/>
    </row>
    <row r="28" spans="1:58" ht="15" thickBot="1">
      <c r="A28" s="1206"/>
      <c r="B28" s="2046" t="s">
        <v>1796</v>
      </c>
      <c r="C28" s="2047"/>
      <c r="D28" s="2047"/>
      <c r="E28" s="2047"/>
      <c r="F28" s="2047"/>
      <c r="G28" s="2047"/>
      <c r="H28" s="2047"/>
      <c r="I28" s="2048"/>
      <c r="J28" s="2049">
        <f t="shared" si="0"/>
        <v>0</v>
      </c>
      <c r="K28" s="2050"/>
      <c r="L28" s="2050"/>
      <c r="M28" s="2050"/>
      <c r="N28" s="2050"/>
      <c r="O28" s="2051"/>
      <c r="P28" s="2049">
        <f>_xlfn.IFNA(VLOOKUP(P$18,Application!$J$758:$S$761,6,FALSE), 0)</f>
        <v>0</v>
      </c>
      <c r="Q28" s="2050"/>
      <c r="R28" s="2050"/>
      <c r="S28" s="2050"/>
      <c r="T28" s="2050"/>
      <c r="U28" s="2051"/>
      <c r="V28" s="2049">
        <f>_xlfn.IFNA(VLOOKUP(V$18,Application!$J$758:$S$761,6,FALSE), 0)</f>
        <v>0</v>
      </c>
      <c r="W28" s="2050"/>
      <c r="X28" s="2050"/>
      <c r="Y28" s="2050"/>
      <c r="Z28" s="2050"/>
      <c r="AA28" s="2051"/>
      <c r="AB28" s="2049">
        <f>_xlfn.IFNA(VLOOKUP(AB$18,Application!$J$758:$S$761,6,FALSE), 0)</f>
        <v>0</v>
      </c>
      <c r="AC28" s="2050"/>
      <c r="AD28" s="2050"/>
      <c r="AE28" s="2050"/>
      <c r="AF28" s="2050"/>
      <c r="AG28" s="2051"/>
      <c r="AH28" s="2049">
        <f>_xlfn.IFNA(VLOOKUP(AH$18,Application!$J$758:$S$761,6,FALSE), 0)</f>
        <v>0</v>
      </c>
      <c r="AI28" s="2050"/>
      <c r="AJ28" s="2050"/>
      <c r="AK28" s="2050"/>
      <c r="AL28" s="2050"/>
      <c r="AM28" s="2051"/>
      <c r="AN28" s="2049">
        <f>_xlfn.IFNA(VLOOKUP(AN$18,Application!$J$758:$S$761,6,FALSE), 0)</f>
        <v>0</v>
      </c>
      <c r="AO28" s="2050"/>
      <c r="AP28" s="2050"/>
      <c r="AQ28" s="2050"/>
      <c r="AR28" s="2050"/>
      <c r="AS28" s="2051"/>
      <c r="AT28" s="2052">
        <f t="shared" si="1"/>
        <v>0</v>
      </c>
      <c r="AU28" s="2053"/>
      <c r="AV28" s="2053"/>
      <c r="AW28" s="2053"/>
      <c r="AX28" s="2053"/>
      <c r="AY28" s="2054"/>
      <c r="AZ28" s="1206"/>
      <c r="BA28" s="1206"/>
      <c r="BB28" s="1206"/>
      <c r="BC28" s="1206"/>
      <c r="BD28" s="1206"/>
      <c r="BE28" s="1202"/>
    </row>
    <row r="29" spans="1:58" ht="15" thickBot="1">
      <c r="A29" s="1206"/>
      <c r="B29" s="2061" t="s">
        <v>1695</v>
      </c>
      <c r="C29" s="2062"/>
      <c r="D29" s="2062"/>
      <c r="E29" s="2062"/>
      <c r="F29" s="2062"/>
      <c r="G29" s="2062"/>
      <c r="H29" s="2062"/>
      <c r="I29" s="2063"/>
      <c r="J29" s="2064">
        <f>SUM(J19:O28)</f>
        <v>99</v>
      </c>
      <c r="K29" s="2062"/>
      <c r="L29" s="2062"/>
      <c r="M29" s="2062"/>
      <c r="N29" s="2062"/>
      <c r="O29" s="2063"/>
      <c r="P29" s="2064">
        <f>SUM(P19:U28)</f>
        <v>0</v>
      </c>
      <c r="Q29" s="2062"/>
      <c r="R29" s="2062"/>
      <c r="S29" s="2062"/>
      <c r="T29" s="2062"/>
      <c r="U29" s="2063"/>
      <c r="V29" s="2064">
        <f>SUM(V19:AA28)</f>
        <v>21</v>
      </c>
      <c r="W29" s="2062"/>
      <c r="X29" s="2062"/>
      <c r="Y29" s="2062"/>
      <c r="Z29" s="2062"/>
      <c r="AA29" s="2063"/>
      <c r="AB29" s="2064">
        <f>SUM(AB19:AG28)</f>
        <v>40</v>
      </c>
      <c r="AC29" s="2062"/>
      <c r="AD29" s="2062"/>
      <c r="AE29" s="2062"/>
      <c r="AF29" s="2062"/>
      <c r="AG29" s="2063"/>
      <c r="AH29" s="2064">
        <f>SUM(AH19:AM28)</f>
        <v>38</v>
      </c>
      <c r="AI29" s="2062"/>
      <c r="AJ29" s="2062"/>
      <c r="AK29" s="2062"/>
      <c r="AL29" s="2062"/>
      <c r="AM29" s="2063"/>
      <c r="AN29" s="2064">
        <f>SUM(AN19:AS28)</f>
        <v>0</v>
      </c>
      <c r="AO29" s="2062"/>
      <c r="AP29" s="2062"/>
      <c r="AQ29" s="2062"/>
      <c r="AR29" s="2062"/>
      <c r="AS29" s="2063"/>
      <c r="AT29" s="2081">
        <f t="shared" si="1"/>
        <v>1</v>
      </c>
      <c r="AU29" s="2082"/>
      <c r="AV29" s="2082"/>
      <c r="AW29" s="2082"/>
      <c r="AX29" s="2082"/>
      <c r="AY29" s="2083"/>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069" t="s">
        <v>1797</v>
      </c>
      <c r="C31" s="2070"/>
      <c r="D31" s="2070"/>
      <c r="E31" s="2070"/>
      <c r="F31" s="2070"/>
      <c r="G31" s="2070"/>
      <c r="H31" s="2070"/>
      <c r="I31" s="2070"/>
      <c r="J31" s="2070"/>
      <c r="K31" s="2070"/>
      <c r="L31" s="2070"/>
      <c r="M31" s="2070"/>
      <c r="N31" s="2070"/>
      <c r="O31" s="2070"/>
      <c r="P31" s="2070"/>
      <c r="Q31" s="2070"/>
      <c r="R31" s="2070"/>
      <c r="S31" s="2070"/>
      <c r="T31" s="2070"/>
      <c r="U31" s="2070"/>
      <c r="V31" s="2070"/>
      <c r="W31" s="2070"/>
      <c r="X31" s="2070"/>
      <c r="Y31" s="2070"/>
      <c r="Z31" s="2070"/>
      <c r="AA31" s="2070"/>
      <c r="AB31" s="2070"/>
      <c r="AC31" s="2070"/>
      <c r="AD31" s="2070"/>
      <c r="AE31" s="2070"/>
      <c r="AF31" s="2070"/>
      <c r="AG31" s="2070"/>
      <c r="AH31" s="2070"/>
      <c r="AI31" s="2070"/>
      <c r="AJ31" s="2070"/>
      <c r="AK31" s="2070"/>
      <c r="AL31" s="2070"/>
      <c r="AM31" s="2070"/>
      <c r="AN31" s="2070"/>
      <c r="AO31" s="2070"/>
      <c r="AP31" s="2070"/>
      <c r="AQ31" s="2070"/>
      <c r="AR31" s="2070"/>
      <c r="AS31" s="2070"/>
      <c r="AT31" s="2070"/>
      <c r="AU31" s="2070"/>
      <c r="AV31" s="2070"/>
      <c r="AW31" s="2070"/>
      <c r="AX31" s="2070"/>
      <c r="AY31" s="2070"/>
      <c r="AZ31" s="2070"/>
      <c r="BA31" s="2070"/>
      <c r="BB31" s="2070"/>
      <c r="BC31" s="2070"/>
      <c r="BD31" s="2071"/>
      <c r="BE31" s="1202"/>
    </row>
    <row r="32" spans="1:58" ht="15" thickBot="1">
      <c r="A32" s="1206"/>
      <c r="B32" s="2084" t="s">
        <v>2467</v>
      </c>
      <c r="C32" s="2085"/>
      <c r="D32" s="2085"/>
      <c r="E32" s="2085"/>
      <c r="F32" s="2085"/>
      <c r="G32" s="2085"/>
      <c r="H32" s="2085"/>
      <c r="I32" s="2085"/>
      <c r="J32" s="2055" t="s">
        <v>2468</v>
      </c>
      <c r="K32" s="2056"/>
      <c r="L32" s="2056"/>
      <c r="M32" s="2056"/>
      <c r="N32" s="2055" t="s">
        <v>1798</v>
      </c>
      <c r="O32" s="2056"/>
      <c r="P32" s="2056"/>
      <c r="Q32" s="2058"/>
      <c r="R32" s="2078" t="s">
        <v>1799</v>
      </c>
      <c r="S32" s="2079"/>
      <c r="T32" s="2079"/>
      <c r="U32" s="2079"/>
      <c r="V32" s="2079"/>
      <c r="W32" s="2079"/>
      <c r="X32" s="2079"/>
      <c r="Y32" s="2079"/>
      <c r="Z32" s="2079"/>
      <c r="AA32" s="2079"/>
      <c r="AB32" s="2079"/>
      <c r="AC32" s="2079"/>
      <c r="AD32" s="2079"/>
      <c r="AE32" s="2079"/>
      <c r="AF32" s="2079"/>
      <c r="AG32" s="2079"/>
      <c r="AH32" s="2079"/>
      <c r="AI32" s="2079"/>
      <c r="AJ32" s="2079"/>
      <c r="AK32" s="2079"/>
      <c r="AL32" s="2079"/>
      <c r="AM32" s="2079"/>
      <c r="AN32" s="2079"/>
      <c r="AO32" s="2079"/>
      <c r="AP32" s="2079"/>
      <c r="AQ32" s="2079"/>
      <c r="AR32" s="2079"/>
      <c r="AS32" s="2079"/>
      <c r="AT32" s="2079"/>
      <c r="AU32" s="2079"/>
      <c r="AV32" s="2079"/>
      <c r="AW32" s="2079"/>
      <c r="AX32" s="2079"/>
      <c r="AY32" s="2079"/>
      <c r="AZ32" s="2079"/>
      <c r="BA32" s="2079"/>
      <c r="BB32" s="2079"/>
      <c r="BC32" s="2079"/>
      <c r="BD32" s="2080"/>
      <c r="BE32" s="1202"/>
    </row>
    <row r="33" spans="1:58" ht="15" customHeight="1">
      <c r="A33" s="1206"/>
      <c r="B33" s="2086"/>
      <c r="C33" s="2087"/>
      <c r="D33" s="2087"/>
      <c r="E33" s="2087"/>
      <c r="F33" s="2087"/>
      <c r="G33" s="2087"/>
      <c r="H33" s="2087"/>
      <c r="I33" s="2087"/>
      <c r="J33" s="2057"/>
      <c r="K33" s="2057"/>
      <c r="L33" s="2057"/>
      <c r="M33" s="2057"/>
      <c r="N33" s="2057"/>
      <c r="O33" s="2057"/>
      <c r="P33" s="2057"/>
      <c r="Q33" s="2059"/>
      <c r="R33" s="2072" t="s">
        <v>1800</v>
      </c>
      <c r="S33" s="2073"/>
      <c r="T33" s="2073"/>
      <c r="U33" s="2073"/>
      <c r="V33" s="2073"/>
      <c r="W33" s="2073"/>
      <c r="X33" s="2073"/>
      <c r="Y33" s="2073"/>
      <c r="Z33" s="2073"/>
      <c r="AA33" s="2073"/>
      <c r="AB33" s="2073"/>
      <c r="AC33" s="2073"/>
      <c r="AD33" s="2073"/>
      <c r="AE33" s="2073"/>
      <c r="AF33" s="2073"/>
      <c r="AG33" s="2073"/>
      <c r="AH33" s="2073"/>
      <c r="AI33" s="2073"/>
      <c r="AJ33" s="2073"/>
      <c r="AK33" s="2073"/>
      <c r="AL33" s="2073"/>
      <c r="AM33" s="2073"/>
      <c r="AN33" s="2073"/>
      <c r="AO33" s="2073"/>
      <c r="AP33" s="2073"/>
      <c r="AQ33" s="2073"/>
      <c r="AR33" s="2073"/>
      <c r="AS33" s="2073"/>
      <c r="AT33" s="2073"/>
      <c r="AU33" s="2073"/>
      <c r="AV33" s="2073"/>
      <c r="AW33" s="2073"/>
      <c r="AX33" s="2073"/>
      <c r="AY33" s="2073"/>
      <c r="AZ33" s="2073"/>
      <c r="BA33" s="2073"/>
      <c r="BB33" s="2073"/>
      <c r="BC33" s="2073"/>
      <c r="BD33" s="2074"/>
      <c r="BE33" s="1202"/>
    </row>
    <row r="34" spans="1:58" ht="15.75" customHeight="1" thickBot="1">
      <c r="A34" s="1206"/>
      <c r="B34" s="2086"/>
      <c r="C34" s="2087"/>
      <c r="D34" s="2087"/>
      <c r="E34" s="2087"/>
      <c r="F34" s="2087"/>
      <c r="G34" s="2087"/>
      <c r="H34" s="2087"/>
      <c r="I34" s="2087"/>
      <c r="J34" s="2057"/>
      <c r="K34" s="2057"/>
      <c r="L34" s="2057"/>
      <c r="M34" s="2057"/>
      <c r="N34" s="2057"/>
      <c r="O34" s="2057"/>
      <c r="P34" s="2057"/>
      <c r="Q34" s="2059"/>
      <c r="R34" s="2075"/>
      <c r="S34" s="2076"/>
      <c r="T34" s="2076"/>
      <c r="U34" s="2076"/>
      <c r="V34" s="2076"/>
      <c r="W34" s="2076"/>
      <c r="X34" s="2076"/>
      <c r="Y34" s="2076"/>
      <c r="Z34" s="2076"/>
      <c r="AA34" s="2076"/>
      <c r="AB34" s="2076"/>
      <c r="AC34" s="2076"/>
      <c r="AD34" s="2076"/>
      <c r="AE34" s="2076"/>
      <c r="AF34" s="2076"/>
      <c r="AG34" s="2076"/>
      <c r="AH34" s="2076"/>
      <c r="AI34" s="2076"/>
      <c r="AJ34" s="2076"/>
      <c r="AK34" s="2076"/>
      <c r="AL34" s="2076"/>
      <c r="AM34" s="2076"/>
      <c r="AN34" s="2076"/>
      <c r="AO34" s="2076"/>
      <c r="AP34" s="2076"/>
      <c r="AQ34" s="2076"/>
      <c r="AR34" s="2076"/>
      <c r="AS34" s="2076"/>
      <c r="AT34" s="2076"/>
      <c r="AU34" s="2076"/>
      <c r="AV34" s="2076"/>
      <c r="AW34" s="2076"/>
      <c r="AX34" s="2076"/>
      <c r="AY34" s="2076"/>
      <c r="AZ34" s="2076"/>
      <c r="BA34" s="2076"/>
      <c r="BB34" s="2076"/>
      <c r="BC34" s="2076"/>
      <c r="BD34" s="2077"/>
      <c r="BE34" s="1202"/>
    </row>
    <row r="35" spans="1:58" ht="15.75" customHeight="1">
      <c r="A35" s="1206"/>
      <c r="B35" s="2086"/>
      <c r="C35" s="2087"/>
      <c r="D35" s="2087"/>
      <c r="E35" s="2087"/>
      <c r="F35" s="2087"/>
      <c r="G35" s="2087"/>
      <c r="H35" s="2087"/>
      <c r="I35" s="2087"/>
      <c r="J35" s="2057"/>
      <c r="K35" s="2057"/>
      <c r="L35" s="2057"/>
      <c r="M35" s="2057"/>
      <c r="N35" s="2057"/>
      <c r="O35" s="2057"/>
      <c r="P35" s="2057"/>
      <c r="Q35" s="2057"/>
      <c r="R35" s="2060">
        <v>0.3</v>
      </c>
      <c r="S35" s="2060"/>
      <c r="T35" s="2060"/>
      <c r="U35" s="2060"/>
      <c r="V35" s="2060">
        <v>0.4</v>
      </c>
      <c r="W35" s="2060"/>
      <c r="X35" s="2060"/>
      <c r="Y35" s="2060"/>
      <c r="Z35" s="2060">
        <v>0.5</v>
      </c>
      <c r="AA35" s="2060"/>
      <c r="AB35" s="2060"/>
      <c r="AC35" s="2060"/>
      <c r="AD35" s="2060">
        <v>0.6</v>
      </c>
      <c r="AE35" s="2060"/>
      <c r="AF35" s="2060"/>
      <c r="AG35" s="2060"/>
      <c r="AH35" s="2060">
        <v>0.7</v>
      </c>
      <c r="AI35" s="2060"/>
      <c r="AJ35" s="2060"/>
      <c r="AK35" s="2060"/>
      <c r="AL35" s="2036">
        <v>0.8</v>
      </c>
      <c r="AM35" s="2037"/>
      <c r="AN35" s="2037"/>
      <c r="AO35" s="2038"/>
      <c r="AP35" s="2039">
        <v>1.2</v>
      </c>
      <c r="AQ35" s="2040"/>
      <c r="AR35" s="2041"/>
      <c r="AS35" s="2042" t="s">
        <v>1801</v>
      </c>
      <c r="AT35" s="2043"/>
      <c r="AU35" s="2043"/>
      <c r="AV35" s="2043"/>
      <c r="AW35" s="2043"/>
      <c r="AX35" s="2044"/>
      <c r="AY35" s="2042" t="s">
        <v>1802</v>
      </c>
      <c r="AZ35" s="2043"/>
      <c r="BA35" s="2043"/>
      <c r="BB35" s="2043"/>
      <c r="BC35" s="2043"/>
      <c r="BD35" s="2045"/>
      <c r="BE35" s="1202"/>
    </row>
    <row r="36" spans="1:58" ht="15.75" customHeight="1">
      <c r="A36" s="1206"/>
      <c r="B36" s="2065" t="s">
        <v>1803</v>
      </c>
      <c r="C36" s="2066"/>
      <c r="D36" s="2066"/>
      <c r="E36" s="2066"/>
      <c r="F36" s="2066"/>
      <c r="G36" s="2066"/>
      <c r="H36" s="2066"/>
      <c r="I36" s="2066"/>
      <c r="J36" s="2067" t="s">
        <v>1804</v>
      </c>
      <c r="K36" s="2067"/>
      <c r="L36" s="2067"/>
      <c r="M36" s="2067"/>
      <c r="N36" s="2067">
        <v>55</v>
      </c>
      <c r="O36" s="2067"/>
      <c r="P36" s="2067"/>
      <c r="Q36" s="2067"/>
      <c r="R36" s="2068">
        <v>0</v>
      </c>
      <c r="S36" s="2068"/>
      <c r="T36" s="2068"/>
      <c r="U36" s="2068"/>
      <c r="V36" s="2068">
        <v>0</v>
      </c>
      <c r="W36" s="2068"/>
      <c r="X36" s="2068"/>
      <c r="Y36" s="2068"/>
      <c r="Z36" s="2068">
        <v>10</v>
      </c>
      <c r="AA36" s="2068"/>
      <c r="AB36" s="2068"/>
      <c r="AC36" s="2068"/>
      <c r="AD36" s="2068">
        <v>10</v>
      </c>
      <c r="AE36" s="2068"/>
      <c r="AF36" s="2068"/>
      <c r="AG36" s="2068"/>
      <c r="AH36" s="2068">
        <v>30</v>
      </c>
      <c r="AI36" s="2068"/>
      <c r="AJ36" s="2068"/>
      <c r="AK36" s="2068"/>
      <c r="AL36" s="2088">
        <v>0</v>
      </c>
      <c r="AM36" s="2089"/>
      <c r="AN36" s="2089"/>
      <c r="AO36" s="2090"/>
      <c r="AP36" s="2088">
        <v>0</v>
      </c>
      <c r="AQ36" s="2089"/>
      <c r="AR36" s="2090"/>
      <c r="AS36" s="2091">
        <f t="shared" ref="AS36:AS47" si="2">SUM(R36:AR36)</f>
        <v>50</v>
      </c>
      <c r="AT36" s="2092"/>
      <c r="AU36" s="2092"/>
      <c r="AV36" s="2092"/>
      <c r="AW36" s="2092"/>
      <c r="AX36" s="2093"/>
      <c r="AY36" s="2094">
        <f t="shared" ref="AY36:AY47" si="3">AS36/$J$29</f>
        <v>0.50505050505050508</v>
      </c>
      <c r="AZ36" s="2095"/>
      <c r="BA36" s="2095"/>
      <c r="BB36" s="2095"/>
      <c r="BC36" s="2095"/>
      <c r="BD36" s="2096"/>
      <c r="BE36" s="1202"/>
    </row>
    <row r="37" spans="1:58" ht="15.75" customHeight="1">
      <c r="A37" s="1206"/>
      <c r="B37" s="2065" t="s">
        <v>2469</v>
      </c>
      <c r="C37" s="2066"/>
      <c r="D37" s="2066"/>
      <c r="E37" s="2066"/>
      <c r="F37" s="2066"/>
      <c r="G37" s="2066"/>
      <c r="H37" s="2066"/>
      <c r="I37" s="2066"/>
      <c r="J37" s="2067" t="s">
        <v>1805</v>
      </c>
      <c r="K37" s="2067"/>
      <c r="L37" s="2067"/>
      <c r="M37" s="2067"/>
      <c r="N37" s="2067">
        <v>55</v>
      </c>
      <c r="O37" s="2067"/>
      <c r="P37" s="2067"/>
      <c r="Q37" s="2067"/>
      <c r="R37" s="2068">
        <v>10</v>
      </c>
      <c r="S37" s="2068"/>
      <c r="T37" s="2068"/>
      <c r="U37" s="2068"/>
      <c r="V37" s="2068"/>
      <c r="W37" s="2068"/>
      <c r="X37" s="2068"/>
      <c r="Y37" s="2068"/>
      <c r="Z37" s="2068"/>
      <c r="AA37" s="2068"/>
      <c r="AB37" s="2068"/>
      <c r="AC37" s="2068"/>
      <c r="AD37" s="2068"/>
      <c r="AE37" s="2068"/>
      <c r="AF37" s="2068"/>
      <c r="AG37" s="2068"/>
      <c r="AH37" s="2068"/>
      <c r="AI37" s="2068"/>
      <c r="AJ37" s="2068"/>
      <c r="AK37" s="2068"/>
      <c r="AL37" s="2088"/>
      <c r="AM37" s="2089"/>
      <c r="AN37" s="2089"/>
      <c r="AO37" s="2090"/>
      <c r="AP37" s="2088"/>
      <c r="AQ37" s="2089"/>
      <c r="AR37" s="2090"/>
      <c r="AS37" s="2091">
        <f t="shared" si="2"/>
        <v>10</v>
      </c>
      <c r="AT37" s="2092"/>
      <c r="AU37" s="2092"/>
      <c r="AV37" s="2092"/>
      <c r="AW37" s="2092"/>
      <c r="AX37" s="2093"/>
      <c r="AY37" s="2094">
        <f t="shared" si="3"/>
        <v>0.10101010101010101</v>
      </c>
      <c r="AZ37" s="2095"/>
      <c r="BA37" s="2095"/>
      <c r="BB37" s="2095"/>
      <c r="BC37" s="2095"/>
      <c r="BD37" s="2096"/>
      <c r="BE37" s="1202"/>
    </row>
    <row r="38" spans="1:58" ht="15.75" customHeight="1">
      <c r="A38" s="1206"/>
      <c r="B38" s="2065" t="s">
        <v>2408</v>
      </c>
      <c r="C38" s="2066"/>
      <c r="D38" s="2066"/>
      <c r="E38" s="2066"/>
      <c r="F38" s="2066"/>
      <c r="G38" s="2066"/>
      <c r="H38" s="2066"/>
      <c r="I38" s="2066"/>
      <c r="J38" s="2067" t="s">
        <v>1806</v>
      </c>
      <c r="K38" s="2067"/>
      <c r="L38" s="2067"/>
      <c r="M38" s="2067"/>
      <c r="N38" s="2067">
        <v>55</v>
      </c>
      <c r="O38" s="2067"/>
      <c r="P38" s="2067"/>
      <c r="Q38" s="2067"/>
      <c r="R38" s="2068"/>
      <c r="S38" s="2068"/>
      <c r="T38" s="2068"/>
      <c r="U38" s="2068"/>
      <c r="V38" s="2068"/>
      <c r="W38" s="2068"/>
      <c r="X38" s="2068"/>
      <c r="Y38" s="2068"/>
      <c r="Z38" s="2068"/>
      <c r="AA38" s="2068"/>
      <c r="AB38" s="2068"/>
      <c r="AC38" s="2068"/>
      <c r="AD38" s="2068"/>
      <c r="AE38" s="2068"/>
      <c r="AF38" s="2068"/>
      <c r="AG38" s="2068"/>
      <c r="AH38" s="2068"/>
      <c r="AI38" s="2068"/>
      <c r="AJ38" s="2068"/>
      <c r="AK38" s="2068"/>
      <c r="AL38" s="2088"/>
      <c r="AM38" s="2089"/>
      <c r="AN38" s="2089"/>
      <c r="AO38" s="2090"/>
      <c r="AP38" s="2088"/>
      <c r="AQ38" s="2089"/>
      <c r="AR38" s="2090"/>
      <c r="AS38" s="2091">
        <f t="shared" si="2"/>
        <v>0</v>
      </c>
      <c r="AT38" s="2092"/>
      <c r="AU38" s="2092"/>
      <c r="AV38" s="2092"/>
      <c r="AW38" s="2092"/>
      <c r="AX38" s="2093"/>
      <c r="AY38" s="2094">
        <f t="shared" si="3"/>
        <v>0</v>
      </c>
      <c r="AZ38" s="2095"/>
      <c r="BA38" s="2095"/>
      <c r="BB38" s="2095"/>
      <c r="BC38" s="2095"/>
      <c r="BD38" s="2096"/>
      <c r="BE38" s="1202"/>
    </row>
    <row r="39" spans="1:58" ht="15.75" customHeight="1">
      <c r="A39" s="1206"/>
      <c r="B39" s="2065" t="s">
        <v>1807</v>
      </c>
      <c r="C39" s="2066"/>
      <c r="D39" s="2066"/>
      <c r="E39" s="2066"/>
      <c r="F39" s="2066"/>
      <c r="G39" s="2066"/>
      <c r="H39" s="2066"/>
      <c r="I39" s="2066"/>
      <c r="J39" s="2067"/>
      <c r="K39" s="2067"/>
      <c r="L39" s="2067"/>
      <c r="M39" s="2067"/>
      <c r="N39" s="2067"/>
      <c r="O39" s="2067"/>
      <c r="P39" s="2067"/>
      <c r="Q39" s="2067"/>
      <c r="R39" s="2068"/>
      <c r="S39" s="2068"/>
      <c r="T39" s="2068"/>
      <c r="U39" s="2068"/>
      <c r="V39" s="2068"/>
      <c r="W39" s="2068"/>
      <c r="X39" s="2068"/>
      <c r="Y39" s="2068"/>
      <c r="Z39" s="2068"/>
      <c r="AA39" s="2068"/>
      <c r="AB39" s="2068"/>
      <c r="AC39" s="2068"/>
      <c r="AD39" s="2068"/>
      <c r="AE39" s="2068"/>
      <c r="AF39" s="2068"/>
      <c r="AG39" s="2068"/>
      <c r="AH39" s="2068"/>
      <c r="AI39" s="2068"/>
      <c r="AJ39" s="2068"/>
      <c r="AK39" s="2068"/>
      <c r="AL39" s="2088"/>
      <c r="AM39" s="2089"/>
      <c r="AN39" s="2089"/>
      <c r="AO39" s="2090"/>
      <c r="AP39" s="2088"/>
      <c r="AQ39" s="2089"/>
      <c r="AR39" s="2090"/>
      <c r="AS39" s="2091">
        <f t="shared" si="2"/>
        <v>0</v>
      </c>
      <c r="AT39" s="2092"/>
      <c r="AU39" s="2092"/>
      <c r="AV39" s="2092"/>
      <c r="AW39" s="2092"/>
      <c r="AX39" s="2093"/>
      <c r="AY39" s="2094">
        <f t="shared" si="3"/>
        <v>0</v>
      </c>
      <c r="AZ39" s="2095"/>
      <c r="BA39" s="2095"/>
      <c r="BB39" s="2095"/>
      <c r="BC39" s="2095"/>
      <c r="BD39" s="2096"/>
      <c r="BE39" s="1202"/>
    </row>
    <row r="40" spans="1:58" ht="15.75" customHeight="1">
      <c r="A40" s="1206"/>
      <c r="B40" s="2065" t="s">
        <v>1807</v>
      </c>
      <c r="C40" s="2066"/>
      <c r="D40" s="2066"/>
      <c r="E40" s="2066"/>
      <c r="F40" s="2066"/>
      <c r="G40" s="2066"/>
      <c r="H40" s="2066"/>
      <c r="I40" s="2066"/>
      <c r="J40" s="2067"/>
      <c r="K40" s="2067"/>
      <c r="L40" s="2067"/>
      <c r="M40" s="2067"/>
      <c r="N40" s="2067"/>
      <c r="O40" s="2067"/>
      <c r="P40" s="2067"/>
      <c r="Q40" s="2067"/>
      <c r="R40" s="2068"/>
      <c r="S40" s="2068"/>
      <c r="T40" s="2068"/>
      <c r="U40" s="2068"/>
      <c r="V40" s="2068"/>
      <c r="W40" s="2068"/>
      <c r="X40" s="2068"/>
      <c r="Y40" s="2068"/>
      <c r="Z40" s="2068"/>
      <c r="AA40" s="2068"/>
      <c r="AB40" s="2068"/>
      <c r="AC40" s="2068"/>
      <c r="AD40" s="2068"/>
      <c r="AE40" s="2068"/>
      <c r="AF40" s="2068"/>
      <c r="AG40" s="2068"/>
      <c r="AH40" s="2068"/>
      <c r="AI40" s="2068"/>
      <c r="AJ40" s="2068"/>
      <c r="AK40" s="2068"/>
      <c r="AL40" s="2088"/>
      <c r="AM40" s="2089"/>
      <c r="AN40" s="2089"/>
      <c r="AO40" s="2090"/>
      <c r="AP40" s="2088"/>
      <c r="AQ40" s="2089"/>
      <c r="AR40" s="2090"/>
      <c r="AS40" s="2091">
        <f t="shared" si="2"/>
        <v>0</v>
      </c>
      <c r="AT40" s="2092"/>
      <c r="AU40" s="2092"/>
      <c r="AV40" s="2092"/>
      <c r="AW40" s="2092"/>
      <c r="AX40" s="2093"/>
      <c r="AY40" s="2094">
        <f t="shared" si="3"/>
        <v>0</v>
      </c>
      <c r="AZ40" s="2095"/>
      <c r="BA40" s="2095"/>
      <c r="BB40" s="2095"/>
      <c r="BC40" s="2095"/>
      <c r="BD40" s="2096"/>
      <c r="BE40" s="1202"/>
    </row>
    <row r="41" spans="1:58" ht="15.75" customHeight="1">
      <c r="A41" s="1206"/>
      <c r="B41" s="2065" t="s">
        <v>1808</v>
      </c>
      <c r="C41" s="2066"/>
      <c r="D41" s="2066"/>
      <c r="E41" s="2066"/>
      <c r="F41" s="2066"/>
      <c r="G41" s="2066"/>
      <c r="H41" s="2066"/>
      <c r="I41" s="2066"/>
      <c r="J41" s="2067"/>
      <c r="K41" s="2067"/>
      <c r="L41" s="2067"/>
      <c r="M41" s="2067"/>
      <c r="N41" s="2067"/>
      <c r="O41" s="2067"/>
      <c r="P41" s="2067"/>
      <c r="Q41" s="2067"/>
      <c r="R41" s="2068"/>
      <c r="S41" s="2068"/>
      <c r="T41" s="2068"/>
      <c r="U41" s="2068"/>
      <c r="V41" s="2068"/>
      <c r="W41" s="2068"/>
      <c r="X41" s="2068"/>
      <c r="Y41" s="2068"/>
      <c r="Z41" s="2068"/>
      <c r="AA41" s="2068"/>
      <c r="AB41" s="2068"/>
      <c r="AC41" s="2068"/>
      <c r="AD41" s="2068"/>
      <c r="AE41" s="2068"/>
      <c r="AF41" s="2068"/>
      <c r="AG41" s="2068"/>
      <c r="AH41" s="2068"/>
      <c r="AI41" s="2068"/>
      <c r="AJ41" s="2068"/>
      <c r="AK41" s="2068"/>
      <c r="AL41" s="2088"/>
      <c r="AM41" s="2089"/>
      <c r="AN41" s="2089"/>
      <c r="AO41" s="2090"/>
      <c r="AP41" s="2088"/>
      <c r="AQ41" s="2089"/>
      <c r="AR41" s="2090"/>
      <c r="AS41" s="2091">
        <f t="shared" si="2"/>
        <v>0</v>
      </c>
      <c r="AT41" s="2092"/>
      <c r="AU41" s="2092"/>
      <c r="AV41" s="2092"/>
      <c r="AW41" s="2092"/>
      <c r="AX41" s="2093"/>
      <c r="AY41" s="2094">
        <f t="shared" si="3"/>
        <v>0</v>
      </c>
      <c r="AZ41" s="2095"/>
      <c r="BA41" s="2095"/>
      <c r="BB41" s="2095"/>
      <c r="BC41" s="2095"/>
      <c r="BD41" s="2096"/>
      <c r="BE41" s="1202"/>
    </row>
    <row r="42" spans="1:58" ht="15.75" customHeight="1">
      <c r="A42" s="1206"/>
      <c r="B42" s="2065" t="s">
        <v>1808</v>
      </c>
      <c r="C42" s="2066"/>
      <c r="D42" s="2066"/>
      <c r="E42" s="2066"/>
      <c r="F42" s="2066"/>
      <c r="G42" s="2066"/>
      <c r="H42" s="2066"/>
      <c r="I42" s="2066"/>
      <c r="J42" s="2067"/>
      <c r="K42" s="2067"/>
      <c r="L42" s="2067"/>
      <c r="M42" s="2067"/>
      <c r="N42" s="2067"/>
      <c r="O42" s="2067"/>
      <c r="P42" s="2067"/>
      <c r="Q42" s="2067"/>
      <c r="R42" s="2068"/>
      <c r="S42" s="2068"/>
      <c r="T42" s="2068"/>
      <c r="U42" s="2068"/>
      <c r="V42" s="2068"/>
      <c r="W42" s="2068"/>
      <c r="X42" s="2068"/>
      <c r="Y42" s="2068"/>
      <c r="Z42" s="2068"/>
      <c r="AA42" s="2068"/>
      <c r="AB42" s="2068"/>
      <c r="AC42" s="2068"/>
      <c r="AD42" s="2068"/>
      <c r="AE42" s="2068"/>
      <c r="AF42" s="2068"/>
      <c r="AG42" s="2068"/>
      <c r="AH42" s="2068"/>
      <c r="AI42" s="2068"/>
      <c r="AJ42" s="2068"/>
      <c r="AK42" s="2068"/>
      <c r="AL42" s="2088"/>
      <c r="AM42" s="2089"/>
      <c r="AN42" s="2089"/>
      <c r="AO42" s="2090"/>
      <c r="AP42" s="2088"/>
      <c r="AQ42" s="2089"/>
      <c r="AR42" s="2090"/>
      <c r="AS42" s="2091">
        <f t="shared" si="2"/>
        <v>0</v>
      </c>
      <c r="AT42" s="2092"/>
      <c r="AU42" s="2092"/>
      <c r="AV42" s="2092"/>
      <c r="AW42" s="2092"/>
      <c r="AX42" s="2093"/>
      <c r="AY42" s="2094">
        <f t="shared" si="3"/>
        <v>0</v>
      </c>
      <c r="AZ42" s="2095"/>
      <c r="BA42" s="2095"/>
      <c r="BB42" s="2095"/>
      <c r="BC42" s="2095"/>
      <c r="BD42" s="2096"/>
      <c r="BE42" s="1202"/>
    </row>
    <row r="43" spans="1:58" ht="15.75" customHeight="1">
      <c r="A43" s="1206"/>
      <c r="B43" s="2097" t="s">
        <v>1809</v>
      </c>
      <c r="C43" s="2098"/>
      <c r="D43" s="2098"/>
      <c r="E43" s="2098"/>
      <c r="F43" s="2098"/>
      <c r="G43" s="2098"/>
      <c r="H43" s="2098"/>
      <c r="I43" s="2098"/>
      <c r="J43" s="2067"/>
      <c r="K43" s="2067"/>
      <c r="L43" s="2067"/>
      <c r="M43" s="2067"/>
      <c r="N43" s="2067"/>
      <c r="O43" s="2067"/>
      <c r="P43" s="2067"/>
      <c r="Q43" s="2067"/>
      <c r="R43" s="2068"/>
      <c r="S43" s="2068"/>
      <c r="T43" s="2068"/>
      <c r="U43" s="2068"/>
      <c r="V43" s="2068"/>
      <c r="W43" s="2068"/>
      <c r="X43" s="2068"/>
      <c r="Y43" s="2068"/>
      <c r="Z43" s="2068"/>
      <c r="AA43" s="2068"/>
      <c r="AB43" s="2068"/>
      <c r="AC43" s="2068"/>
      <c r="AD43" s="2068"/>
      <c r="AE43" s="2068"/>
      <c r="AF43" s="2068"/>
      <c r="AG43" s="2068"/>
      <c r="AH43" s="2068"/>
      <c r="AI43" s="2068"/>
      <c r="AJ43" s="2068"/>
      <c r="AK43" s="2068"/>
      <c r="AL43" s="2088"/>
      <c r="AM43" s="2089"/>
      <c r="AN43" s="2089"/>
      <c r="AO43" s="2090"/>
      <c r="AP43" s="2088"/>
      <c r="AQ43" s="2089"/>
      <c r="AR43" s="2090"/>
      <c r="AS43" s="2091">
        <f t="shared" si="2"/>
        <v>0</v>
      </c>
      <c r="AT43" s="2092"/>
      <c r="AU43" s="2092"/>
      <c r="AV43" s="2092"/>
      <c r="AW43" s="2092"/>
      <c r="AX43" s="2093"/>
      <c r="AY43" s="2094">
        <f t="shared" si="3"/>
        <v>0</v>
      </c>
      <c r="AZ43" s="2095"/>
      <c r="BA43" s="2095"/>
      <c r="BB43" s="2095"/>
      <c r="BC43" s="2095"/>
      <c r="BD43" s="2096"/>
      <c r="BE43" s="1202"/>
    </row>
    <row r="44" spans="1:58" ht="15.75" customHeight="1">
      <c r="A44" s="1206"/>
      <c r="B44" s="2097" t="s">
        <v>1810</v>
      </c>
      <c r="C44" s="2098"/>
      <c r="D44" s="2098"/>
      <c r="E44" s="2098"/>
      <c r="F44" s="2098"/>
      <c r="G44" s="2098"/>
      <c r="H44" s="2098"/>
      <c r="I44" s="2098"/>
      <c r="J44" s="2067"/>
      <c r="K44" s="2067"/>
      <c r="L44" s="2067"/>
      <c r="M44" s="2067"/>
      <c r="N44" s="2067"/>
      <c r="O44" s="2067"/>
      <c r="P44" s="2067"/>
      <c r="Q44" s="2067"/>
      <c r="R44" s="2068"/>
      <c r="S44" s="2068"/>
      <c r="T44" s="2068"/>
      <c r="U44" s="2068"/>
      <c r="V44" s="2068"/>
      <c r="W44" s="2068"/>
      <c r="X44" s="2068"/>
      <c r="Y44" s="2068"/>
      <c r="Z44" s="2068"/>
      <c r="AA44" s="2068"/>
      <c r="AB44" s="2068"/>
      <c r="AC44" s="2068"/>
      <c r="AD44" s="2068"/>
      <c r="AE44" s="2068"/>
      <c r="AF44" s="2068"/>
      <c r="AG44" s="2068"/>
      <c r="AH44" s="2068"/>
      <c r="AI44" s="2068"/>
      <c r="AJ44" s="2068"/>
      <c r="AK44" s="2068"/>
      <c r="AL44" s="2088"/>
      <c r="AM44" s="2089"/>
      <c r="AN44" s="2089"/>
      <c r="AO44" s="2090"/>
      <c r="AP44" s="2088"/>
      <c r="AQ44" s="2089"/>
      <c r="AR44" s="2090"/>
      <c r="AS44" s="2091">
        <f t="shared" si="2"/>
        <v>0</v>
      </c>
      <c r="AT44" s="2092"/>
      <c r="AU44" s="2092"/>
      <c r="AV44" s="2092"/>
      <c r="AW44" s="2092"/>
      <c r="AX44" s="2093"/>
      <c r="AY44" s="2094">
        <f t="shared" si="3"/>
        <v>0</v>
      </c>
      <c r="AZ44" s="2095"/>
      <c r="BA44" s="2095"/>
      <c r="BB44" s="2095"/>
      <c r="BC44" s="2095"/>
      <c r="BD44" s="2096"/>
      <c r="BE44" s="1202"/>
    </row>
    <row r="45" spans="1:58" ht="15.75" customHeight="1">
      <c r="A45" s="1206"/>
      <c r="B45" s="2097" t="s">
        <v>1811</v>
      </c>
      <c r="C45" s="2098"/>
      <c r="D45" s="2098"/>
      <c r="E45" s="2098"/>
      <c r="F45" s="2098"/>
      <c r="G45" s="2098"/>
      <c r="H45" s="2098"/>
      <c r="I45" s="2098"/>
      <c r="J45" s="2067"/>
      <c r="K45" s="2067"/>
      <c r="L45" s="2067"/>
      <c r="M45" s="2067"/>
      <c r="N45" s="2067"/>
      <c r="O45" s="2067"/>
      <c r="P45" s="2067"/>
      <c r="Q45" s="2067"/>
      <c r="R45" s="2068"/>
      <c r="S45" s="2068"/>
      <c r="T45" s="2068"/>
      <c r="U45" s="2068"/>
      <c r="V45" s="2068"/>
      <c r="W45" s="2068"/>
      <c r="X45" s="2068"/>
      <c r="Y45" s="2068"/>
      <c r="Z45" s="2068"/>
      <c r="AA45" s="2068"/>
      <c r="AB45" s="2068"/>
      <c r="AC45" s="2068"/>
      <c r="AD45" s="2068"/>
      <c r="AE45" s="2068"/>
      <c r="AF45" s="2068"/>
      <c r="AG45" s="2068"/>
      <c r="AH45" s="2068"/>
      <c r="AI45" s="2068"/>
      <c r="AJ45" s="2068"/>
      <c r="AK45" s="2068"/>
      <c r="AL45" s="2088"/>
      <c r="AM45" s="2089"/>
      <c r="AN45" s="2089"/>
      <c r="AO45" s="2090"/>
      <c r="AP45" s="2088"/>
      <c r="AQ45" s="2089"/>
      <c r="AR45" s="2090"/>
      <c r="AS45" s="2091">
        <f t="shared" si="2"/>
        <v>0</v>
      </c>
      <c r="AT45" s="2092"/>
      <c r="AU45" s="2092"/>
      <c r="AV45" s="2092"/>
      <c r="AW45" s="2092"/>
      <c r="AX45" s="2093"/>
      <c r="AY45" s="2094">
        <f t="shared" si="3"/>
        <v>0</v>
      </c>
      <c r="AZ45" s="2095"/>
      <c r="BA45" s="2095"/>
      <c r="BB45" s="2095"/>
      <c r="BC45" s="2095"/>
      <c r="BD45" s="2096"/>
      <c r="BE45" s="1202"/>
    </row>
    <row r="46" spans="1:58" ht="15.75" customHeight="1">
      <c r="A46" s="1206"/>
      <c r="B46" s="2097" t="s">
        <v>1812</v>
      </c>
      <c r="C46" s="2098"/>
      <c r="D46" s="2098"/>
      <c r="E46" s="2098"/>
      <c r="F46" s="2098"/>
      <c r="G46" s="2098"/>
      <c r="H46" s="2098"/>
      <c r="I46" s="2098"/>
      <c r="J46" s="2067"/>
      <c r="K46" s="2067"/>
      <c r="L46" s="2067"/>
      <c r="M46" s="2067"/>
      <c r="N46" s="2067">
        <v>99</v>
      </c>
      <c r="O46" s="2067"/>
      <c r="P46" s="2067"/>
      <c r="Q46" s="2067"/>
      <c r="R46" s="2068"/>
      <c r="S46" s="2068"/>
      <c r="T46" s="2068"/>
      <c r="U46" s="2068"/>
      <c r="V46" s="2068"/>
      <c r="W46" s="2068"/>
      <c r="X46" s="2068"/>
      <c r="Y46" s="2068"/>
      <c r="Z46" s="2068"/>
      <c r="AA46" s="2068"/>
      <c r="AB46" s="2068"/>
      <c r="AC46" s="2068"/>
      <c r="AD46" s="2068"/>
      <c r="AE46" s="2068"/>
      <c r="AF46" s="2068"/>
      <c r="AG46" s="2068"/>
      <c r="AH46" s="2068"/>
      <c r="AI46" s="2068"/>
      <c r="AJ46" s="2068"/>
      <c r="AK46" s="2068"/>
      <c r="AL46" s="2088"/>
      <c r="AM46" s="2089"/>
      <c r="AN46" s="2089"/>
      <c r="AO46" s="2090"/>
      <c r="AP46" s="2088"/>
      <c r="AQ46" s="2089"/>
      <c r="AR46" s="2090"/>
      <c r="AS46" s="2091">
        <f t="shared" si="2"/>
        <v>0</v>
      </c>
      <c r="AT46" s="2092"/>
      <c r="AU46" s="2092"/>
      <c r="AV46" s="2092"/>
      <c r="AW46" s="2092"/>
      <c r="AX46" s="2093"/>
      <c r="AY46" s="2094">
        <f t="shared" si="3"/>
        <v>0</v>
      </c>
      <c r="AZ46" s="2095"/>
      <c r="BA46" s="2095"/>
      <c r="BB46" s="2095"/>
      <c r="BC46" s="2095"/>
      <c r="BD46" s="2096"/>
      <c r="BE46" s="1202"/>
    </row>
    <row r="47" spans="1:58" ht="15.75" customHeight="1" thickBot="1">
      <c r="A47" s="1206"/>
      <c r="B47" s="2111" t="s">
        <v>301</v>
      </c>
      <c r="C47" s="2112"/>
      <c r="D47" s="2112"/>
      <c r="E47" s="2112"/>
      <c r="F47" s="2112"/>
      <c r="G47" s="2112"/>
      <c r="H47" s="2112"/>
      <c r="I47" s="2112"/>
      <c r="J47" s="2113"/>
      <c r="K47" s="2113"/>
      <c r="L47" s="2113"/>
      <c r="M47" s="2113"/>
      <c r="N47" s="2113"/>
      <c r="O47" s="2113"/>
      <c r="P47" s="2113"/>
      <c r="Q47" s="2113"/>
      <c r="R47" s="2110"/>
      <c r="S47" s="2110"/>
      <c r="T47" s="2110"/>
      <c r="U47" s="2110"/>
      <c r="V47" s="2110"/>
      <c r="W47" s="2110"/>
      <c r="X47" s="2110"/>
      <c r="Y47" s="2110"/>
      <c r="Z47" s="2110"/>
      <c r="AA47" s="2110"/>
      <c r="AB47" s="2110"/>
      <c r="AC47" s="2110"/>
      <c r="AD47" s="2110"/>
      <c r="AE47" s="2110"/>
      <c r="AF47" s="2110"/>
      <c r="AG47" s="2110"/>
      <c r="AH47" s="2110"/>
      <c r="AI47" s="2110"/>
      <c r="AJ47" s="2110"/>
      <c r="AK47" s="2110"/>
      <c r="AL47" s="2099"/>
      <c r="AM47" s="2100"/>
      <c r="AN47" s="2100"/>
      <c r="AO47" s="2101"/>
      <c r="AP47" s="2099"/>
      <c r="AQ47" s="2100"/>
      <c r="AR47" s="2101"/>
      <c r="AS47" s="2091">
        <f t="shared" si="2"/>
        <v>0</v>
      </c>
      <c r="AT47" s="2092"/>
      <c r="AU47" s="2092"/>
      <c r="AV47" s="2092"/>
      <c r="AW47" s="2092"/>
      <c r="AX47" s="2093"/>
      <c r="AY47" s="2102">
        <f t="shared" si="3"/>
        <v>0</v>
      </c>
      <c r="AZ47" s="2103"/>
      <c r="BA47" s="2103"/>
      <c r="BB47" s="2103"/>
      <c r="BC47" s="2103"/>
      <c r="BD47" s="2104"/>
      <c r="BE47" s="1202"/>
    </row>
    <row r="48" spans="1:58" ht="15.75" customHeight="1">
      <c r="A48" s="1206"/>
      <c r="B48" s="1254" t="s">
        <v>2470</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105" t="s">
        <v>1813</v>
      </c>
      <c r="C50" s="2106"/>
      <c r="D50" s="2106"/>
      <c r="E50" s="2106"/>
      <c r="F50" s="2106"/>
      <c r="G50" s="2106"/>
      <c r="H50" s="2106"/>
      <c r="I50" s="2106"/>
      <c r="J50" s="2106"/>
      <c r="K50" s="2106"/>
      <c r="L50" s="2106"/>
      <c r="M50" s="2106"/>
      <c r="N50" s="2106"/>
      <c r="O50" s="2106"/>
      <c r="P50" s="2106"/>
      <c r="Q50" s="2106"/>
      <c r="R50" s="2106"/>
      <c r="S50" s="2106"/>
      <c r="T50" s="2106"/>
      <c r="U50" s="2106"/>
      <c r="V50" s="2106"/>
      <c r="W50" s="2106"/>
      <c r="X50" s="2106"/>
      <c r="Y50" s="2106"/>
      <c r="Z50" s="2106"/>
      <c r="AA50" s="2106"/>
      <c r="AB50" s="2106"/>
      <c r="AC50" s="2106"/>
      <c r="AD50" s="2106"/>
      <c r="AE50" s="2106"/>
      <c r="AF50" s="2106"/>
      <c r="AG50" s="2106"/>
      <c r="AH50" s="2106"/>
      <c r="AI50" s="2106"/>
      <c r="AJ50" s="2106"/>
      <c r="AK50" s="2106"/>
      <c r="AL50" s="2106"/>
      <c r="AM50" s="2106"/>
      <c r="AN50" s="2106"/>
      <c r="AO50" s="2107"/>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1950" t="s">
        <v>1814</v>
      </c>
      <c r="C51" s="1951"/>
      <c r="D51" s="1951"/>
      <c r="E51" s="1951"/>
      <c r="F51" s="1951"/>
      <c r="G51" s="1951"/>
      <c r="H51" s="1951"/>
      <c r="I51" s="1951"/>
      <c r="J51" s="1951" t="s">
        <v>2471</v>
      </c>
      <c r="K51" s="1951"/>
      <c r="L51" s="1951"/>
      <c r="M51" s="1951"/>
      <c r="N51" s="1951"/>
      <c r="O51" s="1951"/>
      <c r="P51" s="1951"/>
      <c r="Q51" s="1951"/>
      <c r="R51" s="2108" t="s">
        <v>2472</v>
      </c>
      <c r="S51" s="2108"/>
      <c r="T51" s="2108"/>
      <c r="U51" s="2108"/>
      <c r="V51" s="2108"/>
      <c r="W51" s="2108"/>
      <c r="X51" s="2108"/>
      <c r="Y51" s="2108"/>
      <c r="Z51" s="2108" t="s">
        <v>1815</v>
      </c>
      <c r="AA51" s="2108"/>
      <c r="AB51" s="2108"/>
      <c r="AC51" s="2108"/>
      <c r="AD51" s="2108"/>
      <c r="AE51" s="2108"/>
      <c r="AF51" s="2108"/>
      <c r="AG51" s="2108"/>
      <c r="AH51" s="2108" t="s">
        <v>1816</v>
      </c>
      <c r="AI51" s="2108"/>
      <c r="AJ51" s="2108"/>
      <c r="AK51" s="2108"/>
      <c r="AL51" s="2108"/>
      <c r="AM51" s="2108"/>
      <c r="AN51" s="2108"/>
      <c r="AO51" s="2109"/>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097"/>
      <c r="C52" s="2098"/>
      <c r="D52" s="2098"/>
      <c r="E52" s="2098"/>
      <c r="F52" s="2098"/>
      <c r="G52" s="2098"/>
      <c r="H52" s="2098"/>
      <c r="I52" s="2098"/>
      <c r="J52" s="2114"/>
      <c r="K52" s="2114"/>
      <c r="L52" s="2114"/>
      <c r="M52" s="2114"/>
      <c r="N52" s="2114"/>
      <c r="O52" s="2114"/>
      <c r="P52" s="2114"/>
      <c r="Q52" s="2114"/>
      <c r="R52" s="2115"/>
      <c r="S52" s="2115"/>
      <c r="T52" s="2115"/>
      <c r="U52" s="2115"/>
      <c r="V52" s="2115"/>
      <c r="W52" s="2115"/>
      <c r="X52" s="2115"/>
      <c r="Y52" s="2115"/>
      <c r="Z52" s="2116"/>
      <c r="AA52" s="2116"/>
      <c r="AB52" s="2116"/>
      <c r="AC52" s="2116"/>
      <c r="AD52" s="2116"/>
      <c r="AE52" s="2116"/>
      <c r="AF52" s="2116"/>
      <c r="AG52" s="2116"/>
      <c r="AH52" s="2117"/>
      <c r="AI52" s="2117"/>
      <c r="AJ52" s="2117"/>
      <c r="AK52" s="2117"/>
      <c r="AL52" s="2117"/>
      <c r="AM52" s="2117"/>
      <c r="AN52" s="2117"/>
      <c r="AO52" s="2118"/>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097"/>
      <c r="C53" s="2098"/>
      <c r="D53" s="2098"/>
      <c r="E53" s="2098"/>
      <c r="F53" s="2098"/>
      <c r="G53" s="2098"/>
      <c r="H53" s="2098"/>
      <c r="I53" s="2098"/>
      <c r="J53" s="2114"/>
      <c r="K53" s="2114"/>
      <c r="L53" s="2114"/>
      <c r="M53" s="2114"/>
      <c r="N53" s="2114"/>
      <c r="O53" s="2114"/>
      <c r="P53" s="2114"/>
      <c r="Q53" s="2114"/>
      <c r="R53" s="2115"/>
      <c r="S53" s="2115"/>
      <c r="T53" s="2115"/>
      <c r="U53" s="2115"/>
      <c r="V53" s="2115"/>
      <c r="W53" s="2115"/>
      <c r="X53" s="2115"/>
      <c r="Y53" s="2115"/>
      <c r="Z53" s="2116"/>
      <c r="AA53" s="2116"/>
      <c r="AB53" s="2116"/>
      <c r="AC53" s="2116"/>
      <c r="AD53" s="2116"/>
      <c r="AE53" s="2116"/>
      <c r="AF53" s="2116"/>
      <c r="AG53" s="2116"/>
      <c r="AH53" s="2117"/>
      <c r="AI53" s="2117"/>
      <c r="AJ53" s="2117"/>
      <c r="AK53" s="2117"/>
      <c r="AL53" s="2117"/>
      <c r="AM53" s="2117"/>
      <c r="AN53" s="2117"/>
      <c r="AO53" s="2118"/>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097"/>
      <c r="C54" s="2098"/>
      <c r="D54" s="2098"/>
      <c r="E54" s="2098"/>
      <c r="F54" s="2098"/>
      <c r="G54" s="2098"/>
      <c r="H54" s="2098"/>
      <c r="I54" s="2098"/>
      <c r="J54" s="2114"/>
      <c r="K54" s="2114"/>
      <c r="L54" s="2114"/>
      <c r="M54" s="2114"/>
      <c r="N54" s="2114"/>
      <c r="O54" s="2114"/>
      <c r="P54" s="2114"/>
      <c r="Q54" s="2114"/>
      <c r="R54" s="2115"/>
      <c r="S54" s="2115"/>
      <c r="T54" s="2115"/>
      <c r="U54" s="2115"/>
      <c r="V54" s="2115"/>
      <c r="W54" s="2115"/>
      <c r="X54" s="2115"/>
      <c r="Y54" s="2115"/>
      <c r="Z54" s="2116"/>
      <c r="AA54" s="2116"/>
      <c r="AB54" s="2116"/>
      <c r="AC54" s="2116"/>
      <c r="AD54" s="2116"/>
      <c r="AE54" s="2116"/>
      <c r="AF54" s="2116"/>
      <c r="AG54" s="2116"/>
      <c r="AH54" s="2117"/>
      <c r="AI54" s="2117"/>
      <c r="AJ54" s="2117"/>
      <c r="AK54" s="2117"/>
      <c r="AL54" s="2117"/>
      <c r="AM54" s="2117"/>
      <c r="AN54" s="2117"/>
      <c r="AO54" s="2118"/>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097"/>
      <c r="C55" s="2098"/>
      <c r="D55" s="2098"/>
      <c r="E55" s="2098"/>
      <c r="F55" s="2098"/>
      <c r="G55" s="2098"/>
      <c r="H55" s="2098"/>
      <c r="I55" s="2098"/>
      <c r="J55" s="2114"/>
      <c r="K55" s="2114"/>
      <c r="L55" s="2114"/>
      <c r="M55" s="2114"/>
      <c r="N55" s="2114"/>
      <c r="O55" s="2114"/>
      <c r="P55" s="2114"/>
      <c r="Q55" s="2114"/>
      <c r="R55" s="2115"/>
      <c r="S55" s="2115"/>
      <c r="T55" s="2115"/>
      <c r="U55" s="2115"/>
      <c r="V55" s="2115"/>
      <c r="W55" s="2115"/>
      <c r="X55" s="2115"/>
      <c r="Y55" s="2115"/>
      <c r="Z55" s="2116"/>
      <c r="AA55" s="2116"/>
      <c r="AB55" s="2116"/>
      <c r="AC55" s="2116"/>
      <c r="AD55" s="2116"/>
      <c r="AE55" s="2116"/>
      <c r="AF55" s="2116"/>
      <c r="AG55" s="2116"/>
      <c r="AH55" s="2117"/>
      <c r="AI55" s="2117"/>
      <c r="AJ55" s="2117"/>
      <c r="AK55" s="2117"/>
      <c r="AL55" s="2117"/>
      <c r="AM55" s="2117"/>
      <c r="AN55" s="2117"/>
      <c r="AO55" s="2118"/>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097"/>
      <c r="C56" s="2098"/>
      <c r="D56" s="2098"/>
      <c r="E56" s="2098"/>
      <c r="F56" s="2098"/>
      <c r="G56" s="2098"/>
      <c r="H56" s="2098"/>
      <c r="I56" s="2098"/>
      <c r="J56" s="2114"/>
      <c r="K56" s="2114"/>
      <c r="L56" s="2114"/>
      <c r="M56" s="2114"/>
      <c r="N56" s="2114"/>
      <c r="O56" s="2114"/>
      <c r="P56" s="2114"/>
      <c r="Q56" s="2114"/>
      <c r="R56" s="2115"/>
      <c r="S56" s="2115"/>
      <c r="T56" s="2115"/>
      <c r="U56" s="2115"/>
      <c r="V56" s="2115"/>
      <c r="W56" s="2115"/>
      <c r="X56" s="2115"/>
      <c r="Y56" s="2115"/>
      <c r="Z56" s="2116"/>
      <c r="AA56" s="2116"/>
      <c r="AB56" s="2116"/>
      <c r="AC56" s="2116"/>
      <c r="AD56" s="2116"/>
      <c r="AE56" s="2116"/>
      <c r="AF56" s="2116"/>
      <c r="AG56" s="2116"/>
      <c r="AH56" s="2117"/>
      <c r="AI56" s="2117"/>
      <c r="AJ56" s="2117"/>
      <c r="AK56" s="2117"/>
      <c r="AL56" s="2117"/>
      <c r="AM56" s="2117"/>
      <c r="AN56" s="2117"/>
      <c r="AO56" s="2118"/>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1970" t="s">
        <v>1695</v>
      </c>
      <c r="C57" s="1971"/>
      <c r="D57" s="1971"/>
      <c r="E57" s="1971"/>
      <c r="F57" s="1971"/>
      <c r="G57" s="1971"/>
      <c r="H57" s="1971"/>
      <c r="I57" s="1971"/>
      <c r="J57" s="1971"/>
      <c r="K57" s="1971"/>
      <c r="L57" s="1971"/>
      <c r="M57" s="1971"/>
      <c r="N57" s="1971"/>
      <c r="O57" s="1971"/>
      <c r="P57" s="1971"/>
      <c r="Q57" s="1971"/>
      <c r="R57" s="2128">
        <f>SUM(R52:Y56)</f>
        <v>0</v>
      </c>
      <c r="S57" s="2128"/>
      <c r="T57" s="2128"/>
      <c r="U57" s="2128"/>
      <c r="V57" s="2128"/>
      <c r="W57" s="2128"/>
      <c r="X57" s="2128"/>
      <c r="Y57" s="2128"/>
      <c r="Z57" s="2129">
        <f>SUM(Z52:AG56)</f>
        <v>0</v>
      </c>
      <c r="AA57" s="2129"/>
      <c r="AB57" s="2129"/>
      <c r="AC57" s="2129"/>
      <c r="AD57" s="2129"/>
      <c r="AE57" s="2129"/>
      <c r="AF57" s="2129"/>
      <c r="AG57" s="2129"/>
      <c r="AH57" s="2130"/>
      <c r="AI57" s="2130"/>
      <c r="AJ57" s="2130"/>
      <c r="AK57" s="2130"/>
      <c r="AL57" s="2130"/>
      <c r="AM57" s="2130"/>
      <c r="AN57" s="2130"/>
      <c r="AO57" s="213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132" t="s">
        <v>1814</v>
      </c>
      <c r="C59" s="2133"/>
      <c r="D59" s="2133"/>
      <c r="E59" s="2133"/>
      <c r="F59" s="2133"/>
      <c r="G59" s="2133"/>
      <c r="H59" s="2133"/>
      <c r="I59" s="2134"/>
      <c r="J59" s="2018" t="s">
        <v>2473</v>
      </c>
      <c r="K59" s="2018"/>
      <c r="L59" s="2018"/>
      <c r="M59" s="2018"/>
      <c r="N59" s="2018"/>
      <c r="O59" s="2018"/>
      <c r="P59" s="2018"/>
      <c r="Q59" s="2018"/>
      <c r="R59" s="2018"/>
      <c r="S59" s="2018"/>
      <c r="T59" s="2018"/>
      <c r="U59" s="2018"/>
      <c r="V59" s="2018"/>
      <c r="W59" s="2018"/>
      <c r="X59" s="2018"/>
      <c r="Y59" s="2018"/>
      <c r="Z59" s="2018"/>
      <c r="AA59" s="2018"/>
      <c r="AB59" s="2018"/>
      <c r="AC59" s="2018"/>
      <c r="AD59" s="2018"/>
      <c r="AE59" s="2018"/>
      <c r="AF59" s="2018"/>
      <c r="AG59" s="2018"/>
      <c r="AH59" s="2018"/>
      <c r="AI59" s="2018"/>
      <c r="AJ59" s="2018"/>
      <c r="AK59" s="2018"/>
      <c r="AL59" s="2018"/>
      <c r="AM59" s="2018"/>
      <c r="AN59" s="2018"/>
      <c r="AO59" s="2018"/>
      <c r="AP59" s="2018"/>
      <c r="AQ59" s="2018"/>
      <c r="AR59" s="2018"/>
      <c r="AS59" s="2018"/>
      <c r="AT59" s="2018"/>
      <c r="AU59" s="2018"/>
      <c r="AV59" s="2018"/>
      <c r="AW59" s="2019"/>
      <c r="AX59" s="1206"/>
      <c r="AY59" s="1206"/>
      <c r="AZ59" s="1206"/>
      <c r="BA59" s="1206"/>
      <c r="BB59" s="1206"/>
      <c r="BC59" s="1206"/>
      <c r="BD59" s="1206"/>
      <c r="BE59" s="1202"/>
    </row>
    <row r="60" spans="1:58" ht="15.75" customHeight="1">
      <c r="A60" s="1206"/>
      <c r="B60" s="2119" t="str">
        <f>IF(B52="", "", B52)</f>
        <v/>
      </c>
      <c r="C60" s="2120"/>
      <c r="D60" s="2120"/>
      <c r="E60" s="2120"/>
      <c r="F60" s="2120"/>
      <c r="G60" s="2120"/>
      <c r="H60" s="2120"/>
      <c r="I60" s="2121"/>
      <c r="J60" s="2122" t="s">
        <v>2710</v>
      </c>
      <c r="K60" s="2123"/>
      <c r="L60" s="2123"/>
      <c r="M60" s="2123"/>
      <c r="N60" s="2123"/>
      <c r="O60" s="2123"/>
      <c r="P60" s="2123"/>
      <c r="Q60" s="2123"/>
      <c r="R60" s="2123"/>
      <c r="S60" s="2123"/>
      <c r="T60" s="2123"/>
      <c r="U60" s="2123"/>
      <c r="V60" s="2123"/>
      <c r="W60" s="2123"/>
      <c r="X60" s="2123"/>
      <c r="Y60" s="2123"/>
      <c r="Z60" s="2123"/>
      <c r="AA60" s="2123"/>
      <c r="AB60" s="2123"/>
      <c r="AC60" s="2123"/>
      <c r="AD60" s="2123"/>
      <c r="AE60" s="2123"/>
      <c r="AF60" s="2123"/>
      <c r="AG60" s="2123"/>
      <c r="AH60" s="2123"/>
      <c r="AI60" s="2123"/>
      <c r="AJ60" s="2123"/>
      <c r="AK60" s="2123"/>
      <c r="AL60" s="2123"/>
      <c r="AM60" s="2123"/>
      <c r="AN60" s="2123"/>
      <c r="AO60" s="2123"/>
      <c r="AP60" s="2123"/>
      <c r="AQ60" s="2123"/>
      <c r="AR60" s="2123"/>
      <c r="AS60" s="2123"/>
      <c r="AT60" s="2123"/>
      <c r="AU60" s="2123"/>
      <c r="AV60" s="2123"/>
      <c r="AW60" s="2124"/>
      <c r="AX60" s="1206"/>
      <c r="AY60" s="1206"/>
      <c r="AZ60" s="1206"/>
      <c r="BA60" s="1206"/>
      <c r="BB60" s="1206"/>
      <c r="BC60" s="1206"/>
      <c r="BD60" s="1206"/>
      <c r="BE60" s="1202"/>
    </row>
    <row r="61" spans="1:58" ht="15.75" customHeight="1">
      <c r="A61" s="1206"/>
      <c r="B61" s="2119" t="str">
        <f>IF(B53="", "", B53)</f>
        <v/>
      </c>
      <c r="C61" s="2120"/>
      <c r="D61" s="2120"/>
      <c r="E61" s="2120"/>
      <c r="F61" s="2120"/>
      <c r="G61" s="2120"/>
      <c r="H61" s="2120"/>
      <c r="I61" s="2121"/>
      <c r="J61" s="2122" t="s">
        <v>2711</v>
      </c>
      <c r="K61" s="2123"/>
      <c r="L61" s="2123"/>
      <c r="M61" s="2123"/>
      <c r="N61" s="2123"/>
      <c r="O61" s="2123"/>
      <c r="P61" s="2123"/>
      <c r="Q61" s="2123"/>
      <c r="R61" s="2123"/>
      <c r="S61" s="2123"/>
      <c r="T61" s="2123"/>
      <c r="U61" s="2123"/>
      <c r="V61" s="2123"/>
      <c r="W61" s="2123"/>
      <c r="X61" s="2123"/>
      <c r="Y61" s="2123"/>
      <c r="Z61" s="2123"/>
      <c r="AA61" s="2123"/>
      <c r="AB61" s="2123"/>
      <c r="AC61" s="2123"/>
      <c r="AD61" s="2123"/>
      <c r="AE61" s="2123"/>
      <c r="AF61" s="2123"/>
      <c r="AG61" s="2123"/>
      <c r="AH61" s="2123"/>
      <c r="AI61" s="2123"/>
      <c r="AJ61" s="2123"/>
      <c r="AK61" s="2123"/>
      <c r="AL61" s="2123"/>
      <c r="AM61" s="2123"/>
      <c r="AN61" s="2123"/>
      <c r="AO61" s="2123"/>
      <c r="AP61" s="2123"/>
      <c r="AQ61" s="2123"/>
      <c r="AR61" s="2123"/>
      <c r="AS61" s="2123"/>
      <c r="AT61" s="2123"/>
      <c r="AU61" s="2123"/>
      <c r="AV61" s="2123"/>
      <c r="AW61" s="2124"/>
      <c r="AX61" s="1206"/>
      <c r="AY61" s="1206"/>
      <c r="AZ61" s="1206"/>
      <c r="BA61" s="1206"/>
      <c r="BB61" s="1206"/>
      <c r="BC61" s="1206"/>
      <c r="BD61" s="1206"/>
      <c r="BE61" s="1202"/>
    </row>
    <row r="62" spans="1:58" ht="15.75" customHeight="1">
      <c r="A62" s="1206"/>
      <c r="B62" s="2119"/>
      <c r="C62" s="2120"/>
      <c r="D62" s="2120"/>
      <c r="E62" s="2120"/>
      <c r="F62" s="2120"/>
      <c r="G62" s="2120"/>
      <c r="H62" s="2120"/>
      <c r="I62" s="2121"/>
      <c r="J62" s="2122"/>
      <c r="K62" s="2123"/>
      <c r="L62" s="2123"/>
      <c r="M62" s="2123"/>
      <c r="N62" s="2123"/>
      <c r="O62" s="2123"/>
      <c r="P62" s="2123"/>
      <c r="Q62" s="2123"/>
      <c r="R62" s="2123"/>
      <c r="S62" s="2123"/>
      <c r="T62" s="2123"/>
      <c r="U62" s="2123"/>
      <c r="V62" s="2123"/>
      <c r="W62" s="2123"/>
      <c r="X62" s="2123"/>
      <c r="Y62" s="2123"/>
      <c r="Z62" s="2123"/>
      <c r="AA62" s="2123"/>
      <c r="AB62" s="2123"/>
      <c r="AC62" s="2123"/>
      <c r="AD62" s="2123"/>
      <c r="AE62" s="2123"/>
      <c r="AF62" s="2123"/>
      <c r="AG62" s="2123"/>
      <c r="AH62" s="2123"/>
      <c r="AI62" s="2123"/>
      <c r="AJ62" s="2123"/>
      <c r="AK62" s="2123"/>
      <c r="AL62" s="2123"/>
      <c r="AM62" s="2123"/>
      <c r="AN62" s="2123"/>
      <c r="AO62" s="2123"/>
      <c r="AP62" s="2123"/>
      <c r="AQ62" s="2123"/>
      <c r="AR62" s="2123"/>
      <c r="AS62" s="2123"/>
      <c r="AT62" s="2123"/>
      <c r="AU62" s="2123"/>
      <c r="AV62" s="2123"/>
      <c r="AW62" s="2124"/>
      <c r="AX62" s="1206"/>
      <c r="AY62" s="1206"/>
      <c r="AZ62" s="1206"/>
      <c r="BA62" s="1206"/>
      <c r="BB62" s="1206"/>
      <c r="BC62" s="1206"/>
      <c r="BD62" s="1206"/>
      <c r="BE62" s="1202"/>
    </row>
    <row r="63" spans="1:58" ht="15.75" customHeight="1">
      <c r="A63" s="1206"/>
      <c r="B63" s="2119" t="str">
        <f>IF(B55="", "", B55)</f>
        <v/>
      </c>
      <c r="C63" s="2120"/>
      <c r="D63" s="2120"/>
      <c r="E63" s="2120"/>
      <c r="F63" s="2120"/>
      <c r="G63" s="2120"/>
      <c r="H63" s="2120"/>
      <c r="I63" s="2121"/>
      <c r="J63" s="2122"/>
      <c r="K63" s="2123"/>
      <c r="L63" s="2123"/>
      <c r="M63" s="2123"/>
      <c r="N63" s="2123"/>
      <c r="O63" s="2123"/>
      <c r="P63" s="2123"/>
      <c r="Q63" s="2123"/>
      <c r="R63" s="2123"/>
      <c r="S63" s="2123"/>
      <c r="T63" s="2123"/>
      <c r="U63" s="2123"/>
      <c r="V63" s="2123"/>
      <c r="W63" s="2123"/>
      <c r="X63" s="2123"/>
      <c r="Y63" s="2123"/>
      <c r="Z63" s="2123"/>
      <c r="AA63" s="2123"/>
      <c r="AB63" s="2123"/>
      <c r="AC63" s="2123"/>
      <c r="AD63" s="2123"/>
      <c r="AE63" s="2123"/>
      <c r="AF63" s="2123"/>
      <c r="AG63" s="2123"/>
      <c r="AH63" s="2123"/>
      <c r="AI63" s="2123"/>
      <c r="AJ63" s="2123"/>
      <c r="AK63" s="2123"/>
      <c r="AL63" s="2123"/>
      <c r="AM63" s="2123"/>
      <c r="AN63" s="2123"/>
      <c r="AO63" s="2123"/>
      <c r="AP63" s="2123"/>
      <c r="AQ63" s="2123"/>
      <c r="AR63" s="2123"/>
      <c r="AS63" s="2123"/>
      <c r="AT63" s="2123"/>
      <c r="AU63" s="2123"/>
      <c r="AV63" s="2123"/>
      <c r="AW63" s="2124"/>
      <c r="AX63" s="1206"/>
      <c r="AY63" s="1206"/>
      <c r="AZ63" s="1206"/>
      <c r="BA63" s="1206"/>
      <c r="BB63" s="1206"/>
      <c r="BC63" s="1206"/>
      <c r="BD63" s="1206"/>
      <c r="BE63" s="1202"/>
    </row>
    <row r="64" spans="1:58" ht="15.75" customHeight="1" thickBot="1">
      <c r="A64" s="1206"/>
      <c r="B64" s="2125" t="str">
        <f>IF(B56="", "", B56)</f>
        <v/>
      </c>
      <c r="C64" s="2126"/>
      <c r="D64" s="2126"/>
      <c r="E64" s="2126"/>
      <c r="F64" s="2126"/>
      <c r="G64" s="2126"/>
      <c r="H64" s="2126"/>
      <c r="I64" s="2127"/>
      <c r="J64" s="2135"/>
      <c r="K64" s="2136"/>
      <c r="L64" s="2136"/>
      <c r="M64" s="2136"/>
      <c r="N64" s="2136"/>
      <c r="O64" s="2136"/>
      <c r="P64" s="2136"/>
      <c r="Q64" s="2136"/>
      <c r="R64" s="2136"/>
      <c r="S64" s="2136"/>
      <c r="T64" s="2136"/>
      <c r="U64" s="2136"/>
      <c r="V64" s="2136"/>
      <c r="W64" s="2136"/>
      <c r="X64" s="2136"/>
      <c r="Y64" s="2136"/>
      <c r="Z64" s="2136"/>
      <c r="AA64" s="2136"/>
      <c r="AB64" s="2136"/>
      <c r="AC64" s="2136"/>
      <c r="AD64" s="2136"/>
      <c r="AE64" s="2136"/>
      <c r="AF64" s="2136"/>
      <c r="AG64" s="2136"/>
      <c r="AH64" s="2136"/>
      <c r="AI64" s="2136"/>
      <c r="AJ64" s="2136"/>
      <c r="AK64" s="2136"/>
      <c r="AL64" s="2136"/>
      <c r="AM64" s="2136"/>
      <c r="AN64" s="2136"/>
      <c r="AO64" s="2136"/>
      <c r="AP64" s="2136"/>
      <c r="AQ64" s="2136"/>
      <c r="AR64" s="2136"/>
      <c r="AS64" s="2136"/>
      <c r="AT64" s="2136"/>
      <c r="AU64" s="2136"/>
      <c r="AV64" s="2136"/>
      <c r="AW64" s="2137"/>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017" t="s">
        <v>1818</v>
      </c>
      <c r="C68" s="2018"/>
      <c r="D68" s="2018"/>
      <c r="E68" s="2018"/>
      <c r="F68" s="2018"/>
      <c r="G68" s="2018"/>
      <c r="H68" s="2018"/>
      <c r="I68" s="2018"/>
      <c r="J68" s="2018"/>
      <c r="K68" s="2018"/>
      <c r="L68" s="2018"/>
      <c r="M68" s="2018"/>
      <c r="N68" s="2018"/>
      <c r="O68" s="2018"/>
      <c r="P68" s="2018"/>
      <c r="Q68" s="2018"/>
      <c r="R68" s="2018"/>
      <c r="S68" s="2018"/>
      <c r="T68" s="2018"/>
      <c r="U68" s="2018"/>
      <c r="V68" s="2018"/>
      <c r="W68" s="2018"/>
      <c r="X68" s="2018"/>
      <c r="Y68" s="2018"/>
      <c r="Z68" s="2018"/>
      <c r="AA68" s="2019"/>
      <c r="AB68" s="1206"/>
      <c r="AC68" s="2212" t="s">
        <v>1819</v>
      </c>
      <c r="AD68" s="2213"/>
      <c r="AE68" s="2213"/>
      <c r="AF68" s="2213"/>
      <c r="AG68" s="2213"/>
      <c r="AH68" s="2213"/>
      <c r="AI68" s="2213"/>
      <c r="AJ68" s="2213"/>
      <c r="AK68" s="2213"/>
      <c r="AL68" s="2213"/>
      <c r="AM68" s="2213"/>
      <c r="AN68" s="2213"/>
      <c r="AO68" s="2213"/>
      <c r="AP68" s="2213"/>
      <c r="AQ68" s="2213"/>
      <c r="AR68" s="2213"/>
      <c r="AS68" s="2213"/>
      <c r="AT68" s="2213"/>
      <c r="AU68" s="2213"/>
      <c r="AV68" s="2339"/>
      <c r="AW68" s="2171"/>
      <c r="AX68" s="2171"/>
      <c r="AY68" s="2171"/>
      <c r="AZ68" s="2171"/>
      <c r="BA68" s="2171"/>
      <c r="BB68" s="2171"/>
      <c r="BC68" s="2172"/>
      <c r="BD68" s="1206"/>
      <c r="BE68" s="1202"/>
      <c r="BM68" s="1251" t="s">
        <v>2474</v>
      </c>
    </row>
    <row r="69" spans="1:65" ht="15.75" customHeight="1" thickTop="1" thickBot="1">
      <c r="A69" s="1206"/>
      <c r="B69" s="2340" t="s">
        <v>1820</v>
      </c>
      <c r="C69" s="2341"/>
      <c r="D69" s="2341"/>
      <c r="E69" s="2341"/>
      <c r="F69" s="2341"/>
      <c r="G69" s="2341"/>
      <c r="H69" s="2341"/>
      <c r="I69" s="2341"/>
      <c r="J69" s="2341"/>
      <c r="K69" s="2341"/>
      <c r="L69" s="2341"/>
      <c r="M69" s="2341"/>
      <c r="N69" s="2341"/>
      <c r="O69" s="2342" t="s">
        <v>1821</v>
      </c>
      <c r="P69" s="2343"/>
      <c r="Q69" s="2343"/>
      <c r="R69" s="2343"/>
      <c r="S69" s="2343"/>
      <c r="T69" s="2343"/>
      <c r="U69" s="2343"/>
      <c r="V69" s="2343"/>
      <c r="W69" s="2343"/>
      <c r="X69" s="2343"/>
      <c r="Y69" s="2343"/>
      <c r="Z69" s="2343"/>
      <c r="AA69" s="2344"/>
      <c r="AB69" s="1206"/>
      <c r="AC69" s="2345" t="s">
        <v>1822</v>
      </c>
      <c r="AD69" s="2346"/>
      <c r="AE69" s="2346"/>
      <c r="AF69" s="2346"/>
      <c r="AG69" s="2346"/>
      <c r="AH69" s="2346"/>
      <c r="AI69" s="2346"/>
      <c r="AJ69" s="2346"/>
      <c r="AK69" s="2346"/>
      <c r="AL69" s="2346"/>
      <c r="AM69" s="2346"/>
      <c r="AN69" s="2346"/>
      <c r="AO69" s="2346"/>
      <c r="AP69" s="2346"/>
      <c r="AQ69" s="2346"/>
      <c r="AR69" s="2346"/>
      <c r="AS69" s="2346"/>
      <c r="AT69" s="2346"/>
      <c r="AU69" s="2346"/>
      <c r="AV69" s="2347"/>
      <c r="AW69" s="2348"/>
      <c r="AX69" s="2348"/>
      <c r="AY69" s="2348"/>
      <c r="AZ69" s="2348"/>
      <c r="BA69" s="2348"/>
      <c r="BB69" s="2348"/>
      <c r="BC69" s="2349"/>
      <c r="BD69" s="1206"/>
      <c r="BE69" s="1202"/>
      <c r="BM69" s="1250" t="s">
        <v>553</v>
      </c>
    </row>
    <row r="70" spans="1:65" ht="15.75" customHeight="1">
      <c r="A70" s="1206"/>
      <c r="B70" s="2065" t="s">
        <v>2475</v>
      </c>
      <c r="C70" s="2066"/>
      <c r="D70" s="2066"/>
      <c r="E70" s="2066"/>
      <c r="F70" s="2066"/>
      <c r="G70" s="2066"/>
      <c r="H70" s="2066"/>
      <c r="I70" s="2066"/>
      <c r="J70" s="2066"/>
      <c r="K70" s="2066"/>
      <c r="L70" s="2066"/>
      <c r="M70" s="2066"/>
      <c r="N70" s="2066"/>
      <c r="O70" s="2146">
        <v>0</v>
      </c>
      <c r="P70" s="2146"/>
      <c r="Q70" s="2146"/>
      <c r="R70" s="2146"/>
      <c r="S70" s="2146"/>
      <c r="T70" s="2146"/>
      <c r="U70" s="2146"/>
      <c r="V70" s="2146"/>
      <c r="W70" s="2146"/>
      <c r="X70" s="2146"/>
      <c r="Y70" s="2146"/>
      <c r="Z70" s="2146"/>
      <c r="AA70" s="2147"/>
      <c r="AB70" s="1206"/>
      <c r="AC70" s="2105" t="s">
        <v>1823</v>
      </c>
      <c r="AD70" s="2106"/>
      <c r="AE70" s="2106"/>
      <c r="AF70" s="2150"/>
      <c r="AG70" s="2150"/>
      <c r="AH70" s="2150"/>
      <c r="AI70" s="2150"/>
      <c r="AJ70" s="2150"/>
      <c r="AK70" s="2150"/>
      <c r="AL70" s="2150"/>
      <c r="AM70" s="2150"/>
      <c r="AN70" s="2150"/>
      <c r="AO70" s="2150"/>
      <c r="AP70" s="2150"/>
      <c r="AQ70" s="2150"/>
      <c r="AR70" s="2150"/>
      <c r="AS70" s="2150"/>
      <c r="AT70" s="2150"/>
      <c r="AU70" s="2151"/>
      <c r="AV70" s="1206"/>
      <c r="AW70" s="1206"/>
      <c r="AX70" s="1206"/>
      <c r="AY70" s="1206"/>
      <c r="AZ70" s="1206"/>
      <c r="BA70" s="1206"/>
      <c r="BB70" s="1206"/>
      <c r="BC70" s="1206"/>
      <c r="BD70" s="1206"/>
      <c r="BE70" s="1202"/>
      <c r="BM70" s="1249" t="s">
        <v>676</v>
      </c>
    </row>
    <row r="71" spans="1:65" ht="15.75" customHeight="1" thickBot="1">
      <c r="A71" s="1206"/>
      <c r="B71" s="2065" t="s">
        <v>2476</v>
      </c>
      <c r="C71" s="2066"/>
      <c r="D71" s="2066"/>
      <c r="E71" s="2066"/>
      <c r="F71" s="2066"/>
      <c r="G71" s="2066"/>
      <c r="H71" s="2066"/>
      <c r="I71" s="2066"/>
      <c r="J71" s="2066"/>
      <c r="K71" s="2066"/>
      <c r="L71" s="2066"/>
      <c r="M71" s="2066"/>
      <c r="N71" s="2066"/>
      <c r="O71" s="2146">
        <v>0</v>
      </c>
      <c r="P71" s="2146"/>
      <c r="Q71" s="2146"/>
      <c r="R71" s="2146"/>
      <c r="S71" s="2146"/>
      <c r="T71" s="2146"/>
      <c r="U71" s="2146"/>
      <c r="V71" s="2146"/>
      <c r="W71" s="2146"/>
      <c r="X71" s="2146"/>
      <c r="Y71" s="2146"/>
      <c r="Z71" s="2146"/>
      <c r="AA71" s="2147"/>
      <c r="AB71" s="1206"/>
      <c r="AC71" s="2152" t="s">
        <v>1824</v>
      </c>
      <c r="AD71" s="2153"/>
      <c r="AE71" s="2153"/>
      <c r="AF71" s="2136"/>
      <c r="AG71" s="2136"/>
      <c r="AH71" s="2136"/>
      <c r="AI71" s="2136"/>
      <c r="AJ71" s="2136"/>
      <c r="AK71" s="2136"/>
      <c r="AL71" s="2136"/>
      <c r="AM71" s="2136"/>
      <c r="AN71" s="2136"/>
      <c r="AO71" s="2136"/>
      <c r="AP71" s="2136"/>
      <c r="AQ71" s="2136"/>
      <c r="AR71" s="2136"/>
      <c r="AS71" s="2136"/>
      <c r="AT71" s="2136"/>
      <c r="AU71" s="2137"/>
      <c r="AV71" s="1206"/>
      <c r="AW71" s="1206"/>
      <c r="AX71" s="1206"/>
      <c r="AY71" s="1206"/>
      <c r="AZ71" s="1206"/>
      <c r="BA71" s="1206"/>
      <c r="BB71" s="1206"/>
      <c r="BC71" s="1206"/>
      <c r="BD71" s="1206"/>
      <c r="BE71" s="1202"/>
      <c r="BM71" s="1197" t="s">
        <v>2477</v>
      </c>
    </row>
    <row r="72" spans="1:65" ht="15.75" customHeight="1">
      <c r="A72" s="1206"/>
      <c r="B72" s="2065" t="s">
        <v>2478</v>
      </c>
      <c r="C72" s="2066"/>
      <c r="D72" s="2066"/>
      <c r="E72" s="2066"/>
      <c r="F72" s="2066"/>
      <c r="G72" s="2066"/>
      <c r="H72" s="2066"/>
      <c r="I72" s="2066"/>
      <c r="J72" s="2066"/>
      <c r="K72" s="2066"/>
      <c r="L72" s="2066"/>
      <c r="M72" s="2066"/>
      <c r="N72" s="2066"/>
      <c r="O72" s="2146">
        <v>0</v>
      </c>
      <c r="P72" s="2146"/>
      <c r="Q72" s="2146"/>
      <c r="R72" s="2146"/>
      <c r="S72" s="2146"/>
      <c r="T72" s="2146"/>
      <c r="U72" s="2146"/>
      <c r="V72" s="2146"/>
      <c r="W72" s="2146"/>
      <c r="X72" s="2146"/>
      <c r="Y72" s="2146"/>
      <c r="Z72" s="2146"/>
      <c r="AA72" s="2147"/>
      <c r="AB72" s="1206"/>
      <c r="AC72" s="2354" t="s">
        <v>2479</v>
      </c>
      <c r="AD72" s="2355"/>
      <c r="AE72" s="2355"/>
      <c r="AF72" s="2355"/>
      <c r="AG72" s="2355"/>
      <c r="AH72" s="2355"/>
      <c r="AI72" s="2355"/>
      <c r="AJ72" s="2355"/>
      <c r="AK72" s="2355"/>
      <c r="AL72" s="2355"/>
      <c r="AM72" s="2355"/>
      <c r="AN72" s="2355"/>
      <c r="AO72" s="2355"/>
      <c r="AP72" s="2355"/>
      <c r="AQ72" s="2355"/>
      <c r="AR72" s="2355"/>
      <c r="AS72" s="2355"/>
      <c r="AT72" s="2355"/>
      <c r="AU72" s="2355"/>
      <c r="AV72" s="2106"/>
      <c r="AW72" s="2106"/>
      <c r="AX72" s="2106"/>
      <c r="AY72" s="2106"/>
      <c r="AZ72" s="2106"/>
      <c r="BA72" s="2106"/>
      <c r="BB72" s="2106"/>
      <c r="BC72" s="2107"/>
      <c r="BD72" s="1206"/>
      <c r="BE72" s="1202"/>
    </row>
    <row r="73" spans="1:65" ht="15.75" customHeight="1">
      <c r="A73" s="1206"/>
      <c r="B73" s="2097" t="s">
        <v>2480</v>
      </c>
      <c r="C73" s="2098"/>
      <c r="D73" s="2098"/>
      <c r="E73" s="2098"/>
      <c r="F73" s="2098"/>
      <c r="G73" s="2098"/>
      <c r="H73" s="2098"/>
      <c r="I73" s="2098"/>
      <c r="J73" s="2098"/>
      <c r="K73" s="2098"/>
      <c r="L73" s="2098"/>
      <c r="M73" s="2098"/>
      <c r="N73" s="2098"/>
      <c r="O73" s="2146">
        <v>0</v>
      </c>
      <c r="P73" s="2146"/>
      <c r="Q73" s="2146"/>
      <c r="R73" s="2146"/>
      <c r="S73" s="2146"/>
      <c r="T73" s="2146"/>
      <c r="U73" s="2146"/>
      <c r="V73" s="2146"/>
      <c r="W73" s="2146"/>
      <c r="X73" s="2146"/>
      <c r="Y73" s="2146"/>
      <c r="Z73" s="2146"/>
      <c r="AA73" s="2147"/>
      <c r="AB73" s="1206"/>
      <c r="AC73" s="2138"/>
      <c r="AD73" s="2139"/>
      <c r="AE73" s="2139"/>
      <c r="AF73" s="2139"/>
      <c r="AG73" s="2139"/>
      <c r="AH73" s="2139"/>
      <c r="AI73" s="2139"/>
      <c r="AJ73" s="2139"/>
      <c r="AK73" s="2139"/>
      <c r="AL73" s="2139"/>
      <c r="AM73" s="2139"/>
      <c r="AN73" s="2139"/>
      <c r="AO73" s="2139"/>
      <c r="AP73" s="2139"/>
      <c r="AQ73" s="2139"/>
      <c r="AR73" s="2139"/>
      <c r="AS73" s="2139"/>
      <c r="AT73" s="2139"/>
      <c r="AU73" s="2139"/>
      <c r="AV73" s="2139"/>
      <c r="AW73" s="2139"/>
      <c r="AX73" s="2139"/>
      <c r="AY73" s="2139"/>
      <c r="AZ73" s="2139"/>
      <c r="BA73" s="2139"/>
      <c r="BB73" s="2139"/>
      <c r="BC73" s="2140"/>
      <c r="BD73" s="1206"/>
      <c r="BE73" s="1202"/>
    </row>
    <row r="74" spans="1:65" ht="15.75" customHeight="1">
      <c r="A74" s="1206"/>
      <c r="B74" s="2145" t="s">
        <v>2712</v>
      </c>
      <c r="C74" s="2114"/>
      <c r="D74" s="2114"/>
      <c r="E74" s="2114"/>
      <c r="F74" s="2114"/>
      <c r="G74" s="2114"/>
      <c r="H74" s="2114"/>
      <c r="I74" s="2114"/>
      <c r="J74" s="2114"/>
      <c r="K74" s="2114"/>
      <c r="L74" s="2114"/>
      <c r="M74" s="2114"/>
      <c r="N74" s="2114"/>
      <c r="O74" s="2146">
        <v>8500000</v>
      </c>
      <c r="P74" s="2146"/>
      <c r="Q74" s="2146"/>
      <c r="R74" s="2146"/>
      <c r="S74" s="2146"/>
      <c r="T74" s="2146"/>
      <c r="U74" s="2146"/>
      <c r="V74" s="2146"/>
      <c r="W74" s="2146"/>
      <c r="X74" s="2146"/>
      <c r="Y74" s="2146"/>
      <c r="Z74" s="2146"/>
      <c r="AA74" s="2147"/>
      <c r="AB74" s="1206"/>
      <c r="AC74" s="2141"/>
      <c r="AD74" s="2139"/>
      <c r="AE74" s="2139"/>
      <c r="AF74" s="2139"/>
      <c r="AG74" s="2139"/>
      <c r="AH74" s="2139"/>
      <c r="AI74" s="2139"/>
      <c r="AJ74" s="2139"/>
      <c r="AK74" s="2139"/>
      <c r="AL74" s="2139"/>
      <c r="AM74" s="2139"/>
      <c r="AN74" s="2139"/>
      <c r="AO74" s="2139"/>
      <c r="AP74" s="2139"/>
      <c r="AQ74" s="2139"/>
      <c r="AR74" s="2139"/>
      <c r="AS74" s="2139"/>
      <c r="AT74" s="2139"/>
      <c r="AU74" s="2139"/>
      <c r="AV74" s="2139"/>
      <c r="AW74" s="2139"/>
      <c r="AX74" s="2139"/>
      <c r="AY74" s="2139"/>
      <c r="AZ74" s="2139"/>
      <c r="BA74" s="2139"/>
      <c r="BB74" s="2139"/>
      <c r="BC74" s="2140"/>
      <c r="BD74" s="1206"/>
      <c r="BE74" s="1202"/>
    </row>
    <row r="75" spans="1:65" ht="15.75" customHeight="1" thickBot="1">
      <c r="A75" s="1206"/>
      <c r="B75" s="2148" t="s">
        <v>124</v>
      </c>
      <c r="C75" s="2149"/>
      <c r="D75" s="2149"/>
      <c r="E75" s="2149"/>
      <c r="F75" s="2149"/>
      <c r="G75" s="2149"/>
      <c r="H75" s="2149"/>
      <c r="I75" s="2149"/>
      <c r="J75" s="2149"/>
      <c r="K75" s="2149"/>
      <c r="L75" s="2149"/>
      <c r="M75" s="2149"/>
      <c r="N75" s="2149"/>
      <c r="O75" s="2330">
        <f>SUM(O70:AA74)</f>
        <v>8500000</v>
      </c>
      <c r="P75" s="2330"/>
      <c r="Q75" s="2330"/>
      <c r="R75" s="2330"/>
      <c r="S75" s="2330"/>
      <c r="T75" s="2330"/>
      <c r="U75" s="2330"/>
      <c r="V75" s="2330"/>
      <c r="W75" s="2330"/>
      <c r="X75" s="2330"/>
      <c r="Y75" s="2330"/>
      <c r="Z75" s="2330"/>
      <c r="AA75" s="2331"/>
      <c r="AB75" s="1206"/>
      <c r="AC75" s="2141"/>
      <c r="AD75" s="2139"/>
      <c r="AE75" s="2139"/>
      <c r="AF75" s="2139"/>
      <c r="AG75" s="2139"/>
      <c r="AH75" s="2139"/>
      <c r="AI75" s="2139"/>
      <c r="AJ75" s="2139"/>
      <c r="AK75" s="2139"/>
      <c r="AL75" s="2139"/>
      <c r="AM75" s="2139"/>
      <c r="AN75" s="2139"/>
      <c r="AO75" s="2139"/>
      <c r="AP75" s="2139"/>
      <c r="AQ75" s="2139"/>
      <c r="AR75" s="2139"/>
      <c r="AS75" s="2139"/>
      <c r="AT75" s="2139"/>
      <c r="AU75" s="2139"/>
      <c r="AV75" s="2139"/>
      <c r="AW75" s="2139"/>
      <c r="AX75" s="2139"/>
      <c r="AY75" s="2139"/>
      <c r="AZ75" s="2139"/>
      <c r="BA75" s="2139"/>
      <c r="BB75" s="2139"/>
      <c r="BC75" s="214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141"/>
      <c r="AD76" s="2139"/>
      <c r="AE76" s="2139"/>
      <c r="AF76" s="2139"/>
      <c r="AG76" s="2139"/>
      <c r="AH76" s="2139"/>
      <c r="AI76" s="2139"/>
      <c r="AJ76" s="2139"/>
      <c r="AK76" s="2139"/>
      <c r="AL76" s="2139"/>
      <c r="AM76" s="2139"/>
      <c r="AN76" s="2139"/>
      <c r="AO76" s="2139"/>
      <c r="AP76" s="2139"/>
      <c r="AQ76" s="2139"/>
      <c r="AR76" s="2139"/>
      <c r="AS76" s="2139"/>
      <c r="AT76" s="2139"/>
      <c r="AU76" s="2139"/>
      <c r="AV76" s="2139"/>
      <c r="AW76" s="2139"/>
      <c r="AX76" s="2139"/>
      <c r="AY76" s="2139"/>
      <c r="AZ76" s="2139"/>
      <c r="BA76" s="2139"/>
      <c r="BB76" s="2139"/>
      <c r="BC76" s="214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142"/>
      <c r="AD77" s="2143"/>
      <c r="AE77" s="2143"/>
      <c r="AF77" s="2143"/>
      <c r="AG77" s="2143"/>
      <c r="AH77" s="2143"/>
      <c r="AI77" s="2143"/>
      <c r="AJ77" s="2143"/>
      <c r="AK77" s="2143"/>
      <c r="AL77" s="2143"/>
      <c r="AM77" s="2143"/>
      <c r="AN77" s="2143"/>
      <c r="AO77" s="2143"/>
      <c r="AP77" s="2143"/>
      <c r="AQ77" s="2143"/>
      <c r="AR77" s="2143"/>
      <c r="AS77" s="2143"/>
      <c r="AT77" s="2143"/>
      <c r="AU77" s="2143"/>
      <c r="AV77" s="2143"/>
      <c r="AW77" s="2143"/>
      <c r="AX77" s="2143"/>
      <c r="AY77" s="2143"/>
      <c r="AZ77" s="2143"/>
      <c r="BA77" s="2143"/>
      <c r="BB77" s="2143"/>
      <c r="BC77" s="2144"/>
      <c r="BD77" s="1206"/>
      <c r="BE77" s="1202"/>
    </row>
    <row r="78" spans="1:65" ht="15.75" customHeight="1" thickBot="1">
      <c r="A78" s="1206"/>
      <c r="B78" s="1237" t="s">
        <v>2613</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332" t="s">
        <v>2730</v>
      </c>
      <c r="G79" s="2333"/>
      <c r="H79" s="2333"/>
      <c r="I79" s="2333"/>
      <c r="J79" s="2333"/>
      <c r="K79" s="2333"/>
      <c r="L79" s="2333"/>
      <c r="M79" s="2334"/>
      <c r="N79" s="2334"/>
      <c r="O79" s="2334"/>
      <c r="P79" s="2334"/>
      <c r="Q79" s="233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2605</v>
      </c>
      <c r="C80" s="1240"/>
      <c r="D80" s="1239"/>
      <c r="E80" s="1239"/>
      <c r="F80" s="1239"/>
      <c r="G80" s="1239"/>
      <c r="H80" s="1239"/>
      <c r="I80" s="1239"/>
      <c r="J80" s="1239"/>
      <c r="K80" s="1239"/>
      <c r="L80" s="1238"/>
      <c r="M80" s="1239"/>
      <c r="N80" s="1238"/>
      <c r="O80" s="2336" t="e">
        <f>BR96/SUM($BR$96:$BR$98)</f>
        <v>#DIV/0!</v>
      </c>
      <c r="P80" s="2337"/>
      <c r="Q80" s="233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2612</v>
      </c>
      <c r="C81" s="1244"/>
      <c r="D81" s="1226"/>
      <c r="E81" s="1226"/>
      <c r="F81" s="1226"/>
      <c r="G81" s="1226"/>
      <c r="H81" s="1226"/>
      <c r="I81" s="1226"/>
      <c r="J81" s="1226"/>
      <c r="K81" s="1226"/>
      <c r="L81" s="1226"/>
      <c r="M81" s="1226"/>
      <c r="N81" s="1246"/>
      <c r="O81" s="2350" t="s">
        <v>2545</v>
      </c>
      <c r="P81" s="2351"/>
      <c r="Q81" s="235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1955" t="s">
        <v>2167</v>
      </c>
      <c r="C83" s="1956"/>
      <c r="D83" s="1956"/>
      <c r="E83" s="1956"/>
      <c r="F83" s="1956"/>
      <c r="G83" s="1956"/>
      <c r="H83" s="1956"/>
      <c r="I83" s="1956"/>
      <c r="J83" s="1956"/>
      <c r="K83" s="1956"/>
      <c r="L83" s="1956"/>
      <c r="M83" s="1956"/>
      <c r="N83" s="1956"/>
      <c r="O83" s="1956"/>
      <c r="P83" s="1956"/>
      <c r="Q83" s="1956"/>
      <c r="R83" s="1956"/>
      <c r="S83" s="1956"/>
      <c r="T83" s="1956"/>
      <c r="U83" s="1956"/>
      <c r="V83" s="1956"/>
      <c r="W83" s="1956"/>
      <c r="X83" s="1956"/>
      <c r="Y83" s="1956"/>
      <c r="Z83" s="1956"/>
      <c r="AA83" s="1956"/>
      <c r="AB83" s="1956"/>
      <c r="AC83" s="1956"/>
      <c r="AD83" s="1956"/>
      <c r="AE83" s="1956"/>
      <c r="AF83" s="1956"/>
      <c r="AG83" s="1956"/>
      <c r="AH83" s="1957"/>
      <c r="AI83" s="1206"/>
      <c r="AJ83" s="1991" t="s">
        <v>2611</v>
      </c>
      <c r="AK83" s="1992"/>
      <c r="AL83" s="1992"/>
      <c r="AM83" s="1992"/>
      <c r="AN83" s="1992"/>
      <c r="AO83" s="1992"/>
      <c r="AP83" s="1992"/>
      <c r="AQ83" s="1992"/>
      <c r="AR83" s="1992"/>
      <c r="AS83" s="1992"/>
      <c r="AT83" s="1992"/>
      <c r="AU83" s="1992"/>
      <c r="AV83" s="1992"/>
      <c r="AW83" s="1992"/>
      <c r="AX83" s="1992"/>
      <c r="AY83" s="1995" t="s">
        <v>553</v>
      </c>
      <c r="AZ83" s="1995"/>
      <c r="BA83" s="1995"/>
      <c r="BB83" s="1996"/>
      <c r="BC83" s="1206"/>
      <c r="BD83" s="1206"/>
      <c r="BE83" s="1202"/>
    </row>
    <row r="84" spans="1:70" ht="15.75" customHeight="1">
      <c r="A84" s="1206"/>
      <c r="B84" s="1950"/>
      <c r="C84" s="1951"/>
      <c r="D84" s="1951"/>
      <c r="E84" s="1951"/>
      <c r="F84" s="1951"/>
      <c r="G84" s="1951"/>
      <c r="H84" s="1951"/>
      <c r="I84" s="1951" t="s">
        <v>1825</v>
      </c>
      <c r="J84" s="1951"/>
      <c r="K84" s="1951"/>
      <c r="L84" s="1951"/>
      <c r="M84" s="1951"/>
      <c r="N84" s="1951"/>
      <c r="O84" s="1951" t="s">
        <v>1826</v>
      </c>
      <c r="P84" s="1951"/>
      <c r="Q84" s="1951"/>
      <c r="R84" s="1951"/>
      <c r="S84" s="1951"/>
      <c r="T84" s="1951"/>
      <c r="U84" s="1951"/>
      <c r="V84" s="1947" t="s">
        <v>2183</v>
      </c>
      <c r="W84" s="1947"/>
      <c r="X84" s="1947"/>
      <c r="Y84" s="1947"/>
      <c r="Z84" s="1947"/>
      <c r="AA84" s="1947"/>
      <c r="AB84" s="1948" t="s">
        <v>1827</v>
      </c>
      <c r="AC84" s="1948"/>
      <c r="AD84" s="1948"/>
      <c r="AE84" s="1948"/>
      <c r="AF84" s="1948"/>
      <c r="AG84" s="1948"/>
      <c r="AH84" s="1949"/>
      <c r="AI84" s="1206"/>
      <c r="AJ84" s="1993"/>
      <c r="AK84" s="1994"/>
      <c r="AL84" s="1994"/>
      <c r="AM84" s="1994"/>
      <c r="AN84" s="1994"/>
      <c r="AO84" s="1994"/>
      <c r="AP84" s="1994"/>
      <c r="AQ84" s="1994"/>
      <c r="AR84" s="1994"/>
      <c r="AS84" s="1994"/>
      <c r="AT84" s="1994"/>
      <c r="AU84" s="1994"/>
      <c r="AV84" s="1994"/>
      <c r="AW84" s="1994"/>
      <c r="AX84" s="1994"/>
      <c r="AY84" s="1997"/>
      <c r="AZ84" s="1997"/>
      <c r="BA84" s="1997"/>
      <c r="BB84" s="1998"/>
      <c r="BC84" s="1206"/>
      <c r="BD84" s="1206"/>
      <c r="BE84" s="1202"/>
    </row>
    <row r="85" spans="1:70" ht="15.75" customHeight="1">
      <c r="A85" s="1206"/>
      <c r="B85" s="1950"/>
      <c r="C85" s="1951"/>
      <c r="D85" s="1951"/>
      <c r="E85" s="1951"/>
      <c r="F85" s="1951"/>
      <c r="G85" s="1951"/>
      <c r="H85" s="1951"/>
      <c r="I85" s="1951"/>
      <c r="J85" s="1951"/>
      <c r="K85" s="1951"/>
      <c r="L85" s="1951"/>
      <c r="M85" s="1951"/>
      <c r="N85" s="1951"/>
      <c r="O85" s="1951"/>
      <c r="P85" s="1951"/>
      <c r="Q85" s="1951"/>
      <c r="R85" s="1951"/>
      <c r="S85" s="1951"/>
      <c r="T85" s="1951"/>
      <c r="U85" s="1951"/>
      <c r="V85" s="1947"/>
      <c r="W85" s="1947"/>
      <c r="X85" s="1947"/>
      <c r="Y85" s="1947"/>
      <c r="Z85" s="1947"/>
      <c r="AA85" s="1947"/>
      <c r="AB85" s="1948"/>
      <c r="AC85" s="1948"/>
      <c r="AD85" s="1948"/>
      <c r="AE85" s="1948"/>
      <c r="AF85" s="1948"/>
      <c r="AG85" s="1948"/>
      <c r="AH85" s="1949"/>
      <c r="AI85" s="1206"/>
      <c r="AJ85" s="1993"/>
      <c r="AK85" s="1994"/>
      <c r="AL85" s="1994"/>
      <c r="AM85" s="1994"/>
      <c r="AN85" s="1994"/>
      <c r="AO85" s="1994"/>
      <c r="AP85" s="1994"/>
      <c r="AQ85" s="1994"/>
      <c r="AR85" s="1994"/>
      <c r="AS85" s="1994"/>
      <c r="AT85" s="1994"/>
      <c r="AU85" s="1994"/>
      <c r="AV85" s="1994"/>
      <c r="AW85" s="1994"/>
      <c r="AX85" s="1994"/>
      <c r="AY85" s="1997"/>
      <c r="AZ85" s="1997"/>
      <c r="BA85" s="1997"/>
      <c r="BB85" s="1998"/>
      <c r="BC85" s="1206"/>
      <c r="BD85" s="1206"/>
      <c r="BE85" s="1202"/>
    </row>
    <row r="86" spans="1:70" ht="15.75" customHeight="1">
      <c r="A86" s="1206"/>
      <c r="B86" s="1950" t="s">
        <v>2168</v>
      </c>
      <c r="C86" s="1951"/>
      <c r="D86" s="1951"/>
      <c r="E86" s="1951"/>
      <c r="F86" s="1951"/>
      <c r="G86" s="1951"/>
      <c r="H86" s="1951"/>
      <c r="I86" s="1952">
        <v>1557</v>
      </c>
      <c r="J86" s="1952"/>
      <c r="K86" s="1952"/>
      <c r="L86" s="1952"/>
      <c r="M86" s="1952"/>
      <c r="N86" s="1952"/>
      <c r="O86" s="1952">
        <v>648</v>
      </c>
      <c r="P86" s="1952"/>
      <c r="Q86" s="1952"/>
      <c r="R86" s="1952"/>
      <c r="S86" s="1952"/>
      <c r="T86" s="1952"/>
      <c r="U86" s="1952"/>
      <c r="V86" s="1952">
        <v>528</v>
      </c>
      <c r="W86" s="1952"/>
      <c r="X86" s="1952"/>
      <c r="Y86" s="1952"/>
      <c r="Z86" s="1952"/>
      <c r="AA86" s="1952"/>
      <c r="AB86" s="1952">
        <v>138</v>
      </c>
      <c r="AC86" s="1952"/>
      <c r="AD86" s="1952"/>
      <c r="AE86" s="1952"/>
      <c r="AF86" s="1952"/>
      <c r="AG86" s="1952"/>
      <c r="AH86" s="1958"/>
      <c r="AI86" s="1206"/>
      <c r="AJ86" s="1993"/>
      <c r="AK86" s="1994"/>
      <c r="AL86" s="1994"/>
      <c r="AM86" s="1994"/>
      <c r="AN86" s="1994"/>
      <c r="AO86" s="1994"/>
      <c r="AP86" s="1994"/>
      <c r="AQ86" s="1994"/>
      <c r="AR86" s="1994"/>
      <c r="AS86" s="1994"/>
      <c r="AT86" s="1994"/>
      <c r="AU86" s="1994"/>
      <c r="AV86" s="1994"/>
      <c r="AW86" s="1994"/>
      <c r="AX86" s="1994"/>
      <c r="AY86" s="1997"/>
      <c r="AZ86" s="1997"/>
      <c r="BA86" s="1997"/>
      <c r="BB86" s="1998"/>
      <c r="BC86" s="1206"/>
      <c r="BD86" s="1206"/>
      <c r="BE86" s="1202"/>
    </row>
    <row r="87" spans="1:70" ht="15.75" customHeight="1">
      <c r="A87" s="1206"/>
      <c r="B87" s="1950" t="s">
        <v>2169</v>
      </c>
      <c r="C87" s="1951"/>
      <c r="D87" s="1951"/>
      <c r="E87" s="1951"/>
      <c r="F87" s="1951"/>
      <c r="G87" s="1951"/>
      <c r="H87" s="1951"/>
      <c r="I87" s="1952">
        <v>0</v>
      </c>
      <c r="J87" s="1952"/>
      <c r="K87" s="1952"/>
      <c r="L87" s="1952"/>
      <c r="M87" s="1952"/>
      <c r="N87" s="1952"/>
      <c r="O87" s="1952">
        <v>0</v>
      </c>
      <c r="P87" s="1952"/>
      <c r="Q87" s="1952"/>
      <c r="R87" s="1952"/>
      <c r="S87" s="1952"/>
      <c r="T87" s="1952"/>
      <c r="U87" s="1952"/>
      <c r="V87" s="1952">
        <v>0</v>
      </c>
      <c r="W87" s="1952"/>
      <c r="X87" s="1952"/>
      <c r="Y87" s="1952"/>
      <c r="Z87" s="1952"/>
      <c r="AA87" s="1952"/>
      <c r="AB87" s="1952">
        <v>0</v>
      </c>
      <c r="AC87" s="1952"/>
      <c r="AD87" s="1952"/>
      <c r="AE87" s="1952"/>
      <c r="AF87" s="1952"/>
      <c r="AG87" s="1952"/>
      <c r="AH87" s="1958"/>
      <c r="AI87" s="1206"/>
      <c r="AJ87" s="1964" t="s">
        <v>2481</v>
      </c>
      <c r="AK87" s="1965"/>
      <c r="AL87" s="1965"/>
      <c r="AM87" s="1965"/>
      <c r="AN87" s="1965"/>
      <c r="AO87" s="1965"/>
      <c r="AP87" s="1965"/>
      <c r="AQ87" s="1965"/>
      <c r="AR87" s="1965"/>
      <c r="AS87" s="1965"/>
      <c r="AT87" s="1965"/>
      <c r="AU87" s="1965"/>
      <c r="AV87" s="1965"/>
      <c r="AW87" s="1965"/>
      <c r="AX87" s="1965"/>
      <c r="AY87" s="1965"/>
      <c r="AZ87" s="1965"/>
      <c r="BA87" s="1965"/>
      <c r="BB87" s="1966"/>
      <c r="BC87" s="1206"/>
      <c r="BD87" s="1206"/>
      <c r="BE87" s="1202"/>
    </row>
    <row r="88" spans="1:70" ht="15.75" customHeight="1" thickBot="1">
      <c r="A88" s="1206"/>
      <c r="B88" s="1970" t="s">
        <v>1828</v>
      </c>
      <c r="C88" s="1971"/>
      <c r="D88" s="1971"/>
      <c r="E88" s="1971"/>
      <c r="F88" s="1971"/>
      <c r="G88" s="1971"/>
      <c r="H88" s="1971"/>
      <c r="I88" s="1972">
        <v>1557</v>
      </c>
      <c r="J88" s="1972"/>
      <c r="K88" s="1972"/>
      <c r="L88" s="1972"/>
      <c r="M88" s="1972"/>
      <c r="N88" s="1972"/>
      <c r="O88" s="1972">
        <v>648</v>
      </c>
      <c r="P88" s="1972"/>
      <c r="Q88" s="1972"/>
      <c r="R88" s="1972"/>
      <c r="S88" s="1972"/>
      <c r="T88" s="1972"/>
      <c r="U88" s="1972"/>
      <c r="V88" s="1972">
        <v>528</v>
      </c>
      <c r="W88" s="1972"/>
      <c r="X88" s="1972"/>
      <c r="Y88" s="1972"/>
      <c r="Z88" s="1972"/>
      <c r="AA88" s="1972"/>
      <c r="AB88" s="1972">
        <v>138</v>
      </c>
      <c r="AC88" s="1972"/>
      <c r="AD88" s="1972"/>
      <c r="AE88" s="1972"/>
      <c r="AF88" s="1972"/>
      <c r="AG88" s="1972"/>
      <c r="AH88" s="1973"/>
      <c r="AI88" s="1206"/>
      <c r="AJ88" s="1967"/>
      <c r="AK88" s="1968"/>
      <c r="AL88" s="1968"/>
      <c r="AM88" s="1968"/>
      <c r="AN88" s="1968"/>
      <c r="AO88" s="1968"/>
      <c r="AP88" s="1968"/>
      <c r="AQ88" s="1968"/>
      <c r="AR88" s="1968"/>
      <c r="AS88" s="1968"/>
      <c r="AT88" s="1968"/>
      <c r="AU88" s="1968"/>
      <c r="AV88" s="1968"/>
      <c r="AW88" s="1968"/>
      <c r="AX88" s="1968"/>
      <c r="AY88" s="1968"/>
      <c r="AZ88" s="1968"/>
      <c r="BA88" s="1968"/>
      <c r="BB88" s="196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2610</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353"/>
      <c r="G92" s="2334"/>
      <c r="H92" s="2334"/>
      <c r="I92" s="2334"/>
      <c r="J92" s="2334"/>
      <c r="K92" s="2334"/>
      <c r="L92" s="2334"/>
      <c r="M92" s="2334"/>
      <c r="N92" s="2334"/>
      <c r="O92" s="2334"/>
      <c r="P92" s="2334"/>
      <c r="Q92" s="233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2605</v>
      </c>
      <c r="C93" s="1240"/>
      <c r="D93" s="1239"/>
      <c r="E93" s="1239"/>
      <c r="F93" s="1239"/>
      <c r="G93" s="1239"/>
      <c r="H93" s="1239"/>
      <c r="I93" s="1239"/>
      <c r="J93" s="1239"/>
      <c r="K93" s="1239"/>
      <c r="L93" s="1238"/>
      <c r="M93" s="1239"/>
      <c r="N93" s="1238"/>
      <c r="O93" s="2336" t="e">
        <f>BR97/SUM($BR$96:$BR$98)</f>
        <v>#DIV/0!</v>
      </c>
      <c r="P93" s="2337"/>
      <c r="Q93" s="233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2609</v>
      </c>
      <c r="C94" s="1244"/>
      <c r="D94" s="1226"/>
      <c r="E94" s="1226"/>
      <c r="F94" s="1226"/>
      <c r="G94" s="1226"/>
      <c r="H94" s="1226"/>
      <c r="I94" s="1226"/>
      <c r="J94" s="1226"/>
      <c r="K94" s="1226"/>
      <c r="L94" s="1226"/>
      <c r="M94" s="1226"/>
      <c r="N94" s="1246"/>
      <c r="O94" s="2350" t="s">
        <v>2545</v>
      </c>
      <c r="P94" s="2351"/>
      <c r="Q94" s="235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1955" t="s">
        <v>2608</v>
      </c>
      <c r="C96" s="1956"/>
      <c r="D96" s="1956"/>
      <c r="E96" s="1956"/>
      <c r="F96" s="1956"/>
      <c r="G96" s="1956"/>
      <c r="H96" s="1956"/>
      <c r="I96" s="1956"/>
      <c r="J96" s="1956"/>
      <c r="K96" s="1956"/>
      <c r="L96" s="1956"/>
      <c r="M96" s="1956"/>
      <c r="N96" s="1956"/>
      <c r="O96" s="1956"/>
      <c r="P96" s="1956"/>
      <c r="Q96" s="1956"/>
      <c r="R96" s="1956"/>
      <c r="S96" s="1956"/>
      <c r="T96" s="1956"/>
      <c r="U96" s="1956"/>
      <c r="V96" s="1956"/>
      <c r="W96" s="1956"/>
      <c r="X96" s="1956"/>
      <c r="Y96" s="1956"/>
      <c r="Z96" s="1956"/>
      <c r="AA96" s="1956"/>
      <c r="AB96" s="1956"/>
      <c r="AC96" s="1956"/>
      <c r="AD96" s="1956"/>
      <c r="AE96" s="1956"/>
      <c r="AF96" s="1956"/>
      <c r="AG96" s="1956"/>
      <c r="AH96" s="1957"/>
      <c r="AI96" s="1206"/>
      <c r="AJ96" s="1991" t="s">
        <v>2607</v>
      </c>
      <c r="AK96" s="1992"/>
      <c r="AL96" s="1992"/>
      <c r="AM96" s="1992"/>
      <c r="AN96" s="1992"/>
      <c r="AO96" s="1992"/>
      <c r="AP96" s="1992"/>
      <c r="AQ96" s="1992"/>
      <c r="AR96" s="1992"/>
      <c r="AS96" s="1992"/>
      <c r="AT96" s="1992"/>
      <c r="AU96" s="1992"/>
      <c r="AV96" s="1992"/>
      <c r="AW96" s="1992"/>
      <c r="AX96" s="1992"/>
      <c r="AY96" s="1995" t="s">
        <v>553</v>
      </c>
      <c r="AZ96" s="1995"/>
      <c r="BA96" s="1995"/>
      <c r="BB96" s="1996"/>
      <c r="BC96" s="1206"/>
      <c r="BD96" s="1206"/>
      <c r="BE96" s="1202"/>
      <c r="BQ96" s="1245" t="str">
        <f>Application!M243</f>
        <v xml:space="preserve">PSCDC Scotts LLC </v>
      </c>
      <c r="BR96" s="1245">
        <f>Application!AH245</f>
        <v>0</v>
      </c>
    </row>
    <row r="97" spans="1:70" ht="15.75" customHeight="1">
      <c r="A97" s="1206"/>
      <c r="B97" s="1950"/>
      <c r="C97" s="1951"/>
      <c r="D97" s="1951"/>
      <c r="E97" s="1951"/>
      <c r="F97" s="1951"/>
      <c r="G97" s="1951"/>
      <c r="H97" s="1951"/>
      <c r="I97" s="1951" t="s">
        <v>1825</v>
      </c>
      <c r="J97" s="1951"/>
      <c r="K97" s="1951"/>
      <c r="L97" s="1951"/>
      <c r="M97" s="1951"/>
      <c r="N97" s="1951"/>
      <c r="O97" s="1951" t="s">
        <v>1826</v>
      </c>
      <c r="P97" s="1951"/>
      <c r="Q97" s="1951"/>
      <c r="R97" s="1951"/>
      <c r="S97" s="1951"/>
      <c r="T97" s="1951"/>
      <c r="U97" s="1951"/>
      <c r="V97" s="1947" t="s">
        <v>2183</v>
      </c>
      <c r="W97" s="1947"/>
      <c r="X97" s="1947"/>
      <c r="Y97" s="1947"/>
      <c r="Z97" s="1947"/>
      <c r="AA97" s="1947"/>
      <c r="AB97" s="1948" t="s">
        <v>1827</v>
      </c>
      <c r="AC97" s="1948"/>
      <c r="AD97" s="1948"/>
      <c r="AE97" s="1948"/>
      <c r="AF97" s="1948"/>
      <c r="AG97" s="1948"/>
      <c r="AH97" s="1949"/>
      <c r="AI97" s="1206"/>
      <c r="AJ97" s="1993"/>
      <c r="AK97" s="1994"/>
      <c r="AL97" s="1994"/>
      <c r="AM97" s="1994"/>
      <c r="AN97" s="1994"/>
      <c r="AO97" s="1994"/>
      <c r="AP97" s="1994"/>
      <c r="AQ97" s="1994"/>
      <c r="AR97" s="1994"/>
      <c r="AS97" s="1994"/>
      <c r="AT97" s="1994"/>
      <c r="AU97" s="1994"/>
      <c r="AV97" s="1994"/>
      <c r="AW97" s="1994"/>
      <c r="AX97" s="1994"/>
      <c r="AY97" s="1997"/>
      <c r="AZ97" s="1997"/>
      <c r="BA97" s="1997"/>
      <c r="BB97" s="1998"/>
      <c r="BC97" s="1206"/>
      <c r="BD97" s="1206"/>
      <c r="BE97" s="1202"/>
      <c r="BQ97" s="1245" t="str">
        <f>Application!M251</f>
        <v>CRP 4575 Scotts Valley Apartments AGP LLC</v>
      </c>
      <c r="BR97" s="1245">
        <f>Application!AH253</f>
        <v>0</v>
      </c>
    </row>
    <row r="98" spans="1:70" ht="15.75" customHeight="1">
      <c r="A98" s="1206"/>
      <c r="B98" s="1950"/>
      <c r="C98" s="1951"/>
      <c r="D98" s="1951"/>
      <c r="E98" s="1951"/>
      <c r="F98" s="1951"/>
      <c r="G98" s="1951"/>
      <c r="H98" s="1951"/>
      <c r="I98" s="1951"/>
      <c r="J98" s="1951"/>
      <c r="K98" s="1951"/>
      <c r="L98" s="1951"/>
      <c r="M98" s="1951"/>
      <c r="N98" s="1951"/>
      <c r="O98" s="1951"/>
      <c r="P98" s="1951"/>
      <c r="Q98" s="1951"/>
      <c r="R98" s="1951"/>
      <c r="S98" s="1951"/>
      <c r="T98" s="1951"/>
      <c r="U98" s="1951"/>
      <c r="V98" s="1947"/>
      <c r="W98" s="1947"/>
      <c r="X98" s="1947"/>
      <c r="Y98" s="1947"/>
      <c r="Z98" s="1947"/>
      <c r="AA98" s="1947"/>
      <c r="AB98" s="1948"/>
      <c r="AC98" s="1948"/>
      <c r="AD98" s="1948"/>
      <c r="AE98" s="1948"/>
      <c r="AF98" s="1948"/>
      <c r="AG98" s="1948"/>
      <c r="AH98" s="1949"/>
      <c r="AI98" s="1206"/>
      <c r="AJ98" s="1993"/>
      <c r="AK98" s="1994"/>
      <c r="AL98" s="1994"/>
      <c r="AM98" s="1994"/>
      <c r="AN98" s="1994"/>
      <c r="AO98" s="1994"/>
      <c r="AP98" s="1994"/>
      <c r="AQ98" s="1994"/>
      <c r="AR98" s="1994"/>
      <c r="AS98" s="1994"/>
      <c r="AT98" s="1994"/>
      <c r="AU98" s="1994"/>
      <c r="AV98" s="1994"/>
      <c r="AW98" s="1994"/>
      <c r="AX98" s="1994"/>
      <c r="AY98" s="1997"/>
      <c r="AZ98" s="1997"/>
      <c r="BA98" s="1997"/>
      <c r="BB98" s="1998"/>
      <c r="BC98" s="1206"/>
      <c r="BD98" s="1206"/>
      <c r="BE98" s="1202"/>
      <c r="BQ98" s="1245" t="str">
        <f>Application!M259</f>
        <v>WB 4575 Scotts Valley Apartments AGP LLC</v>
      </c>
      <c r="BR98" s="1245">
        <f>Application!AH261</f>
        <v>0</v>
      </c>
    </row>
    <row r="99" spans="1:70" ht="15.75" customHeight="1">
      <c r="A99" s="1206"/>
      <c r="B99" s="1950" t="s">
        <v>2168</v>
      </c>
      <c r="C99" s="1951"/>
      <c r="D99" s="1951"/>
      <c r="E99" s="1951"/>
      <c r="F99" s="1951"/>
      <c r="G99" s="1951"/>
      <c r="H99" s="1951"/>
      <c r="I99" s="1952"/>
      <c r="J99" s="1952"/>
      <c r="K99" s="1952"/>
      <c r="L99" s="1952"/>
      <c r="M99" s="1952"/>
      <c r="N99" s="1952"/>
      <c r="O99" s="1952"/>
      <c r="P99" s="1952"/>
      <c r="Q99" s="1952"/>
      <c r="R99" s="1952"/>
      <c r="S99" s="1952"/>
      <c r="T99" s="1952"/>
      <c r="U99" s="1952"/>
      <c r="V99" s="1952"/>
      <c r="W99" s="1952"/>
      <c r="X99" s="1952"/>
      <c r="Y99" s="1952"/>
      <c r="Z99" s="1952"/>
      <c r="AA99" s="1952"/>
      <c r="AB99" s="1952"/>
      <c r="AC99" s="1952"/>
      <c r="AD99" s="1952"/>
      <c r="AE99" s="1952"/>
      <c r="AF99" s="1952"/>
      <c r="AG99" s="1952"/>
      <c r="AH99" s="1958"/>
      <c r="AI99" s="1206"/>
      <c r="AJ99" s="1993"/>
      <c r="AK99" s="1994"/>
      <c r="AL99" s="1994"/>
      <c r="AM99" s="1994"/>
      <c r="AN99" s="1994"/>
      <c r="AO99" s="1994"/>
      <c r="AP99" s="1994"/>
      <c r="AQ99" s="1994"/>
      <c r="AR99" s="1994"/>
      <c r="AS99" s="1994"/>
      <c r="AT99" s="1994"/>
      <c r="AU99" s="1994"/>
      <c r="AV99" s="1994"/>
      <c r="AW99" s="1994"/>
      <c r="AX99" s="1994"/>
      <c r="AY99" s="1997"/>
      <c r="AZ99" s="1997"/>
      <c r="BA99" s="1997"/>
      <c r="BB99" s="1998"/>
      <c r="BC99" s="1206"/>
      <c r="BD99" s="1206"/>
      <c r="BE99" s="1202"/>
    </row>
    <row r="100" spans="1:70" ht="15.75" customHeight="1">
      <c r="A100" s="1206"/>
      <c r="B100" s="1950" t="s">
        <v>2169</v>
      </c>
      <c r="C100" s="1951"/>
      <c r="D100" s="1951"/>
      <c r="E100" s="1951"/>
      <c r="F100" s="1951"/>
      <c r="G100" s="1951"/>
      <c r="H100" s="1951"/>
      <c r="I100" s="1952"/>
      <c r="J100" s="1952"/>
      <c r="K100" s="1952"/>
      <c r="L100" s="1952"/>
      <c r="M100" s="1952"/>
      <c r="N100" s="1952"/>
      <c r="O100" s="1952"/>
      <c r="P100" s="1952"/>
      <c r="Q100" s="1952"/>
      <c r="R100" s="1952"/>
      <c r="S100" s="1952"/>
      <c r="T100" s="1952"/>
      <c r="U100" s="1952"/>
      <c r="V100" s="1952"/>
      <c r="W100" s="1952"/>
      <c r="X100" s="1952"/>
      <c r="Y100" s="1952"/>
      <c r="Z100" s="1952"/>
      <c r="AA100" s="1952"/>
      <c r="AB100" s="1952"/>
      <c r="AC100" s="1952"/>
      <c r="AD100" s="1952"/>
      <c r="AE100" s="1952"/>
      <c r="AF100" s="1952"/>
      <c r="AG100" s="1952"/>
      <c r="AH100" s="1958"/>
      <c r="AI100" s="1206"/>
      <c r="AJ100" s="1964" t="s">
        <v>2481</v>
      </c>
      <c r="AK100" s="1965"/>
      <c r="AL100" s="1965"/>
      <c r="AM100" s="1965"/>
      <c r="AN100" s="1965"/>
      <c r="AO100" s="1965"/>
      <c r="AP100" s="1965"/>
      <c r="AQ100" s="1965"/>
      <c r="AR100" s="1965"/>
      <c r="AS100" s="1965"/>
      <c r="AT100" s="1965"/>
      <c r="AU100" s="1965"/>
      <c r="AV100" s="1965"/>
      <c r="AW100" s="1965"/>
      <c r="AX100" s="1965"/>
      <c r="AY100" s="1965"/>
      <c r="AZ100" s="1965"/>
      <c r="BA100" s="1965"/>
      <c r="BB100" s="1966"/>
      <c r="BC100" s="1206"/>
      <c r="BD100" s="1206"/>
      <c r="BE100" s="1202"/>
    </row>
    <row r="101" spans="1:70" ht="15.75" customHeight="1" thickBot="1">
      <c r="A101" s="1206"/>
      <c r="B101" s="1970" t="s">
        <v>1828</v>
      </c>
      <c r="C101" s="1971"/>
      <c r="D101" s="1971"/>
      <c r="E101" s="1971"/>
      <c r="F101" s="1971"/>
      <c r="G101" s="1971"/>
      <c r="H101" s="1971"/>
      <c r="I101" s="1972"/>
      <c r="J101" s="1972"/>
      <c r="K101" s="1972"/>
      <c r="L101" s="1972"/>
      <c r="M101" s="1972"/>
      <c r="N101" s="1972"/>
      <c r="O101" s="1972"/>
      <c r="P101" s="1972"/>
      <c r="Q101" s="1972"/>
      <c r="R101" s="1972"/>
      <c r="S101" s="1972"/>
      <c r="T101" s="1972"/>
      <c r="U101" s="1972"/>
      <c r="V101" s="1972"/>
      <c r="W101" s="1972"/>
      <c r="X101" s="1972"/>
      <c r="Y101" s="1972"/>
      <c r="Z101" s="1972"/>
      <c r="AA101" s="1972"/>
      <c r="AB101" s="1972"/>
      <c r="AC101" s="1972"/>
      <c r="AD101" s="1972"/>
      <c r="AE101" s="1972"/>
      <c r="AF101" s="1972"/>
      <c r="AG101" s="1972"/>
      <c r="AH101" s="1973"/>
      <c r="AI101" s="1206"/>
      <c r="AJ101" s="1967"/>
      <c r="AK101" s="1968"/>
      <c r="AL101" s="1968"/>
      <c r="AM101" s="1968"/>
      <c r="AN101" s="1968"/>
      <c r="AO101" s="1968"/>
      <c r="AP101" s="1968"/>
      <c r="AQ101" s="1968"/>
      <c r="AR101" s="1968"/>
      <c r="AS101" s="1968"/>
      <c r="AT101" s="1968"/>
      <c r="AU101" s="1968"/>
      <c r="AV101" s="1968"/>
      <c r="AW101" s="1968"/>
      <c r="AX101" s="1968"/>
      <c r="AY101" s="1968"/>
      <c r="AZ101" s="1968"/>
      <c r="BA101" s="1968"/>
      <c r="BB101" s="196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2606</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291"/>
      <c r="G104" s="2292"/>
      <c r="H104" s="2292"/>
      <c r="I104" s="2292"/>
      <c r="J104" s="2292"/>
      <c r="K104" s="2292"/>
      <c r="L104" s="2292"/>
      <c r="M104" s="2292"/>
      <c r="N104" s="2292"/>
      <c r="O104" s="2292"/>
      <c r="P104" s="2292"/>
      <c r="Q104" s="2292"/>
      <c r="R104" s="229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2605</v>
      </c>
      <c r="C105" s="1240"/>
      <c r="D105" s="1239"/>
      <c r="E105" s="1239"/>
      <c r="F105" s="1239"/>
      <c r="G105" s="1239"/>
      <c r="H105" s="1239"/>
      <c r="I105" s="1239"/>
      <c r="J105" s="1239"/>
      <c r="K105" s="1239"/>
      <c r="L105" s="1238"/>
      <c r="M105" s="1239"/>
      <c r="N105" s="1238"/>
      <c r="O105" s="2350" t="e">
        <f>BR98/SUM(BR96:BR98)</f>
        <v>#DIV/0!</v>
      </c>
      <c r="P105" s="2351"/>
      <c r="Q105" s="2351"/>
      <c r="R105" s="235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212" t="s">
        <v>2604</v>
      </c>
      <c r="C107" s="2213"/>
      <c r="D107" s="2213"/>
      <c r="E107" s="2213"/>
      <c r="F107" s="2213"/>
      <c r="G107" s="2213"/>
      <c r="H107" s="2213"/>
      <c r="I107" s="2213"/>
      <c r="J107" s="2213"/>
      <c r="K107" s="2213"/>
      <c r="L107" s="2213"/>
      <c r="M107" s="2213"/>
      <c r="N107" s="2213"/>
      <c r="O107" s="2213"/>
      <c r="P107" s="2213"/>
      <c r="Q107" s="2213"/>
      <c r="R107" s="2213"/>
      <c r="S107" s="2213"/>
      <c r="T107" s="2213"/>
      <c r="U107" s="2213"/>
      <c r="V107" s="2213"/>
      <c r="W107" s="2213"/>
      <c r="X107" s="2213"/>
      <c r="Y107" s="2213"/>
      <c r="Z107" s="2213"/>
      <c r="AA107" s="2213"/>
      <c r="AB107" s="2213"/>
      <c r="AC107" s="2213"/>
      <c r="AD107" s="2213"/>
      <c r="AE107" s="2213"/>
      <c r="AF107" s="2213"/>
      <c r="AG107" s="2213"/>
      <c r="AH107" s="221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1950"/>
      <c r="C108" s="1951"/>
      <c r="D108" s="1951"/>
      <c r="E108" s="1951"/>
      <c r="F108" s="1951"/>
      <c r="G108" s="1951"/>
      <c r="H108" s="1951"/>
      <c r="I108" s="1951" t="s">
        <v>1825</v>
      </c>
      <c r="J108" s="1951"/>
      <c r="K108" s="1951"/>
      <c r="L108" s="1951"/>
      <c r="M108" s="1951"/>
      <c r="N108" s="1951"/>
      <c r="O108" s="1951" t="s">
        <v>1826</v>
      </c>
      <c r="P108" s="1951"/>
      <c r="Q108" s="1951"/>
      <c r="R108" s="1951"/>
      <c r="S108" s="1951"/>
      <c r="T108" s="1951"/>
      <c r="U108" s="1951"/>
      <c r="V108" s="1947" t="s">
        <v>2183</v>
      </c>
      <c r="W108" s="1947"/>
      <c r="X108" s="1947"/>
      <c r="Y108" s="1947"/>
      <c r="Z108" s="1947"/>
      <c r="AA108" s="1947"/>
      <c r="AB108" s="1948" t="s">
        <v>1827</v>
      </c>
      <c r="AC108" s="1948"/>
      <c r="AD108" s="1948"/>
      <c r="AE108" s="1948"/>
      <c r="AF108" s="1948"/>
      <c r="AG108" s="1948"/>
      <c r="AH108" s="194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1950"/>
      <c r="C109" s="1951"/>
      <c r="D109" s="1951"/>
      <c r="E109" s="1951"/>
      <c r="F109" s="1951"/>
      <c r="G109" s="1951"/>
      <c r="H109" s="1951"/>
      <c r="I109" s="1951"/>
      <c r="J109" s="1951"/>
      <c r="K109" s="1951"/>
      <c r="L109" s="1951"/>
      <c r="M109" s="1951"/>
      <c r="N109" s="1951"/>
      <c r="O109" s="1951"/>
      <c r="P109" s="1951"/>
      <c r="Q109" s="1951"/>
      <c r="R109" s="1951"/>
      <c r="S109" s="1951"/>
      <c r="T109" s="1951"/>
      <c r="U109" s="1951"/>
      <c r="V109" s="1947"/>
      <c r="W109" s="1947"/>
      <c r="X109" s="1947"/>
      <c r="Y109" s="1947"/>
      <c r="Z109" s="1947"/>
      <c r="AA109" s="1947"/>
      <c r="AB109" s="1948"/>
      <c r="AC109" s="1948"/>
      <c r="AD109" s="1948"/>
      <c r="AE109" s="1948"/>
      <c r="AF109" s="1948"/>
      <c r="AG109" s="1948"/>
      <c r="AH109" s="194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1950" t="s">
        <v>2168</v>
      </c>
      <c r="C110" s="1951"/>
      <c r="D110" s="1951"/>
      <c r="E110" s="1951"/>
      <c r="F110" s="1951"/>
      <c r="G110" s="1951"/>
      <c r="H110" s="1951"/>
      <c r="I110" s="1952">
        <v>0</v>
      </c>
      <c r="J110" s="1952"/>
      <c r="K110" s="1952"/>
      <c r="L110" s="1952"/>
      <c r="M110" s="1952"/>
      <c r="N110" s="1952"/>
      <c r="O110" s="1952">
        <v>0</v>
      </c>
      <c r="P110" s="1952"/>
      <c r="Q110" s="1952"/>
      <c r="R110" s="1952"/>
      <c r="S110" s="1952"/>
      <c r="T110" s="1952"/>
      <c r="U110" s="1952"/>
      <c r="V110" s="1952">
        <v>0</v>
      </c>
      <c r="W110" s="1952"/>
      <c r="X110" s="1952"/>
      <c r="Y110" s="1952"/>
      <c r="Z110" s="1952"/>
      <c r="AA110" s="1952"/>
      <c r="AB110" s="1952">
        <v>0</v>
      </c>
      <c r="AC110" s="1952"/>
      <c r="AD110" s="1952"/>
      <c r="AE110" s="1952"/>
      <c r="AF110" s="1952"/>
      <c r="AG110" s="1952"/>
      <c r="AH110" s="1958"/>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1950" t="s">
        <v>2169</v>
      </c>
      <c r="C111" s="1951"/>
      <c r="D111" s="1951"/>
      <c r="E111" s="1951"/>
      <c r="F111" s="1951"/>
      <c r="G111" s="1951"/>
      <c r="H111" s="1951"/>
      <c r="I111" s="1952">
        <v>0</v>
      </c>
      <c r="J111" s="1952"/>
      <c r="K111" s="1952"/>
      <c r="L111" s="1952"/>
      <c r="M111" s="1952"/>
      <c r="N111" s="1952"/>
      <c r="O111" s="1952">
        <v>0</v>
      </c>
      <c r="P111" s="1952"/>
      <c r="Q111" s="1952"/>
      <c r="R111" s="1952"/>
      <c r="S111" s="1952"/>
      <c r="T111" s="1952"/>
      <c r="U111" s="1952"/>
      <c r="V111" s="1952">
        <v>0</v>
      </c>
      <c r="W111" s="1952"/>
      <c r="X111" s="1952"/>
      <c r="Y111" s="1952"/>
      <c r="Z111" s="1952"/>
      <c r="AA111" s="1952"/>
      <c r="AB111" s="1952">
        <v>0</v>
      </c>
      <c r="AC111" s="1952"/>
      <c r="AD111" s="1952"/>
      <c r="AE111" s="1952"/>
      <c r="AF111" s="1952"/>
      <c r="AG111" s="1952"/>
      <c r="AH111" s="1958"/>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1970" t="s">
        <v>1828</v>
      </c>
      <c r="C112" s="1971"/>
      <c r="D112" s="1971"/>
      <c r="E112" s="1971"/>
      <c r="F112" s="1971"/>
      <c r="G112" s="1971"/>
      <c r="H112" s="1971"/>
      <c r="I112" s="1972">
        <v>0</v>
      </c>
      <c r="J112" s="1972"/>
      <c r="K112" s="1972"/>
      <c r="L112" s="1972"/>
      <c r="M112" s="1972"/>
      <c r="N112" s="1972"/>
      <c r="O112" s="1972">
        <v>0</v>
      </c>
      <c r="P112" s="1972"/>
      <c r="Q112" s="1972"/>
      <c r="R112" s="1972"/>
      <c r="S112" s="1972"/>
      <c r="T112" s="1972"/>
      <c r="U112" s="1972"/>
      <c r="V112" s="1972">
        <v>0</v>
      </c>
      <c r="W112" s="1972"/>
      <c r="X112" s="1972"/>
      <c r="Y112" s="1972"/>
      <c r="Z112" s="1972"/>
      <c r="AA112" s="1972"/>
      <c r="AB112" s="1972">
        <v>0</v>
      </c>
      <c r="AC112" s="1972"/>
      <c r="AD112" s="1972"/>
      <c r="AE112" s="1972"/>
      <c r="AF112" s="1972"/>
      <c r="AG112" s="1972"/>
      <c r="AH112" s="1973"/>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2603</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291"/>
      <c r="G115" s="2292"/>
      <c r="H115" s="2292"/>
      <c r="I115" s="2292"/>
      <c r="J115" s="2292"/>
      <c r="K115" s="2292"/>
      <c r="L115" s="2292"/>
      <c r="M115" s="2292"/>
      <c r="N115" s="2292"/>
      <c r="O115" s="2292"/>
      <c r="P115" s="2292"/>
      <c r="Q115" s="2292"/>
      <c r="R115" s="229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1991" t="s">
        <v>2482</v>
      </c>
      <c r="C117" s="1992"/>
      <c r="D117" s="1992"/>
      <c r="E117" s="1992"/>
      <c r="F117" s="1992"/>
      <c r="G117" s="1992"/>
      <c r="H117" s="1992"/>
      <c r="I117" s="1992"/>
      <c r="J117" s="1992"/>
      <c r="K117" s="1992"/>
      <c r="L117" s="1992"/>
      <c r="M117" s="1992"/>
      <c r="N117" s="1992"/>
      <c r="O117" s="1992"/>
      <c r="P117" s="1992"/>
      <c r="Q117" s="1995" t="s">
        <v>553</v>
      </c>
      <c r="R117" s="1995"/>
      <c r="S117" s="1995"/>
      <c r="T117" s="199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1993"/>
      <c r="C118" s="1994"/>
      <c r="D118" s="1994"/>
      <c r="E118" s="1994"/>
      <c r="F118" s="1994"/>
      <c r="G118" s="1994"/>
      <c r="H118" s="1994"/>
      <c r="I118" s="1994"/>
      <c r="J118" s="1994"/>
      <c r="K118" s="1994"/>
      <c r="L118" s="1994"/>
      <c r="M118" s="1994"/>
      <c r="N118" s="1994"/>
      <c r="O118" s="1994"/>
      <c r="P118" s="1994"/>
      <c r="Q118" s="1997"/>
      <c r="R118" s="1997"/>
      <c r="S118" s="1997"/>
      <c r="T118" s="199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1993"/>
      <c r="C119" s="1994"/>
      <c r="D119" s="1994"/>
      <c r="E119" s="1994"/>
      <c r="F119" s="1994"/>
      <c r="G119" s="1994"/>
      <c r="H119" s="1994"/>
      <c r="I119" s="1994"/>
      <c r="J119" s="1994"/>
      <c r="K119" s="1994"/>
      <c r="L119" s="1994"/>
      <c r="M119" s="1994"/>
      <c r="N119" s="1994"/>
      <c r="O119" s="1994"/>
      <c r="P119" s="1994"/>
      <c r="Q119" s="1997"/>
      <c r="R119" s="1997"/>
      <c r="S119" s="1997"/>
      <c r="T119" s="199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1993"/>
      <c r="C120" s="1994"/>
      <c r="D120" s="1994"/>
      <c r="E120" s="1994"/>
      <c r="F120" s="1994"/>
      <c r="G120" s="1994"/>
      <c r="H120" s="1994"/>
      <c r="I120" s="1994"/>
      <c r="J120" s="1994"/>
      <c r="K120" s="1994"/>
      <c r="L120" s="1994"/>
      <c r="M120" s="1994"/>
      <c r="N120" s="1994"/>
      <c r="O120" s="1994"/>
      <c r="P120" s="1994"/>
      <c r="Q120" s="1997"/>
      <c r="R120" s="1997"/>
      <c r="S120" s="1997"/>
      <c r="T120" s="199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1964" t="s">
        <v>2184</v>
      </c>
      <c r="C121" s="1965"/>
      <c r="D121" s="1965"/>
      <c r="E121" s="1965"/>
      <c r="F121" s="1965"/>
      <c r="G121" s="1965"/>
      <c r="H121" s="1965"/>
      <c r="I121" s="1965"/>
      <c r="J121" s="1965"/>
      <c r="K121" s="1965"/>
      <c r="L121" s="1965"/>
      <c r="M121" s="1965"/>
      <c r="N121" s="1965"/>
      <c r="O121" s="1965"/>
      <c r="P121" s="1965"/>
      <c r="Q121" s="1965"/>
      <c r="R121" s="1965"/>
      <c r="S121" s="1965"/>
      <c r="T121" s="196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1967"/>
      <c r="C122" s="1968"/>
      <c r="D122" s="1968"/>
      <c r="E122" s="1968"/>
      <c r="F122" s="1968"/>
      <c r="G122" s="1968"/>
      <c r="H122" s="1968"/>
      <c r="I122" s="1968"/>
      <c r="J122" s="1968"/>
      <c r="K122" s="1968"/>
      <c r="L122" s="1968"/>
      <c r="M122" s="1968"/>
      <c r="N122" s="1968"/>
      <c r="O122" s="1968"/>
      <c r="P122" s="1968"/>
      <c r="Q122" s="1968"/>
      <c r="R122" s="1968"/>
      <c r="S122" s="1968"/>
      <c r="T122" s="196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1991" t="s">
        <v>2170</v>
      </c>
      <c r="Y125" s="1992"/>
      <c r="Z125" s="1992"/>
      <c r="AA125" s="1992"/>
      <c r="AB125" s="1992"/>
      <c r="AC125" s="1992"/>
      <c r="AD125" s="1992"/>
      <c r="AE125" s="1992"/>
      <c r="AF125" s="1992"/>
      <c r="AG125" s="1992"/>
      <c r="AH125" s="1992"/>
      <c r="AI125" s="1992"/>
      <c r="AJ125" s="1992"/>
      <c r="AK125" s="1992"/>
      <c r="AL125" s="1992"/>
      <c r="AM125" s="1992"/>
      <c r="AN125" s="1992"/>
      <c r="AO125" s="1992"/>
      <c r="AP125" s="1992"/>
      <c r="AQ125" s="1992"/>
      <c r="AR125" s="1992"/>
      <c r="AS125" s="1992"/>
      <c r="AT125" s="1992"/>
      <c r="AU125" s="1992"/>
      <c r="AV125" s="1992"/>
      <c r="AW125" s="1992"/>
      <c r="AX125" s="1992"/>
      <c r="AY125" s="1992"/>
      <c r="AZ125" s="1992"/>
      <c r="BA125" s="1992"/>
      <c r="BB125" s="1992"/>
      <c r="BC125" s="1992"/>
      <c r="BD125" s="2154"/>
      <c r="BE125" s="1202"/>
    </row>
    <row r="126" spans="1:57" ht="15.75" customHeight="1">
      <c r="A126" s="1206"/>
      <c r="B126" s="2156" t="s">
        <v>1685</v>
      </c>
      <c r="C126" s="2157"/>
      <c r="D126" s="2157"/>
      <c r="E126" s="2157"/>
      <c r="F126" s="2157"/>
      <c r="G126" s="2157"/>
      <c r="H126" s="2157"/>
      <c r="I126" s="2157"/>
      <c r="J126" s="2157"/>
      <c r="K126" s="2157"/>
      <c r="L126" s="2157"/>
      <c r="M126" s="2157"/>
      <c r="N126" s="2157"/>
      <c r="O126" s="2157"/>
      <c r="P126" s="2157"/>
      <c r="Q126" s="2157"/>
      <c r="R126" s="2157"/>
      <c r="S126" s="2157"/>
      <c r="T126" s="2157"/>
      <c r="U126" s="2158"/>
      <c r="V126" s="1206"/>
      <c r="W126" s="1206"/>
      <c r="X126" s="1993"/>
      <c r="Y126" s="1994"/>
      <c r="Z126" s="1994"/>
      <c r="AA126" s="1994"/>
      <c r="AB126" s="1994"/>
      <c r="AC126" s="1994"/>
      <c r="AD126" s="1994"/>
      <c r="AE126" s="1994"/>
      <c r="AF126" s="1994"/>
      <c r="AG126" s="1994"/>
      <c r="AH126" s="1994"/>
      <c r="AI126" s="1994"/>
      <c r="AJ126" s="1994"/>
      <c r="AK126" s="1994"/>
      <c r="AL126" s="1994"/>
      <c r="AM126" s="1994"/>
      <c r="AN126" s="1994"/>
      <c r="AO126" s="1994"/>
      <c r="AP126" s="1994"/>
      <c r="AQ126" s="1994"/>
      <c r="AR126" s="1994"/>
      <c r="AS126" s="1994"/>
      <c r="AT126" s="1994"/>
      <c r="AU126" s="1994"/>
      <c r="AV126" s="1994"/>
      <c r="AW126" s="1994"/>
      <c r="AX126" s="1994"/>
      <c r="AY126" s="1994"/>
      <c r="AZ126" s="1994"/>
      <c r="BA126" s="1994"/>
      <c r="BB126" s="1994"/>
      <c r="BC126" s="1994"/>
      <c r="BD126" s="2155"/>
      <c r="BE126" s="1202"/>
    </row>
    <row r="127" spans="1:57" ht="15.75" customHeight="1">
      <c r="A127" s="1206"/>
      <c r="B127" s="2159"/>
      <c r="C127" s="2160"/>
      <c r="D127" s="2160"/>
      <c r="E127" s="2160"/>
      <c r="F127" s="2160"/>
      <c r="G127" s="2160"/>
      <c r="H127" s="2160"/>
      <c r="I127" s="1951" t="s">
        <v>2171</v>
      </c>
      <c r="J127" s="1951"/>
      <c r="K127" s="1951"/>
      <c r="L127" s="1951"/>
      <c r="M127" s="1951"/>
      <c r="N127" s="1951"/>
      <c r="O127" s="2161" t="s">
        <v>2172</v>
      </c>
      <c r="P127" s="2161"/>
      <c r="Q127" s="2161"/>
      <c r="R127" s="2161"/>
      <c r="S127" s="2161"/>
      <c r="T127" s="2161"/>
      <c r="U127" s="2162"/>
      <c r="V127" s="1206"/>
      <c r="W127" s="1206"/>
      <c r="X127" s="2138" t="s">
        <v>2713</v>
      </c>
      <c r="Y127" s="2139"/>
      <c r="Z127" s="2139"/>
      <c r="AA127" s="2139"/>
      <c r="AB127" s="2139"/>
      <c r="AC127" s="2139"/>
      <c r="AD127" s="2139"/>
      <c r="AE127" s="2139"/>
      <c r="AF127" s="2139"/>
      <c r="AG127" s="2139"/>
      <c r="AH127" s="2139"/>
      <c r="AI127" s="2139"/>
      <c r="AJ127" s="2139"/>
      <c r="AK127" s="2139"/>
      <c r="AL127" s="2139"/>
      <c r="AM127" s="2139"/>
      <c r="AN127" s="2139"/>
      <c r="AO127" s="2139"/>
      <c r="AP127" s="2139"/>
      <c r="AQ127" s="2139"/>
      <c r="AR127" s="2139"/>
      <c r="AS127" s="2139"/>
      <c r="AT127" s="2139"/>
      <c r="AU127" s="2139"/>
      <c r="AV127" s="2139"/>
      <c r="AW127" s="2139"/>
      <c r="AX127" s="2139"/>
      <c r="AY127" s="2139"/>
      <c r="AZ127" s="2139"/>
      <c r="BA127" s="2139"/>
      <c r="BB127" s="2139"/>
      <c r="BC127" s="2139"/>
      <c r="BD127" s="2140"/>
      <c r="BE127" s="1202"/>
    </row>
    <row r="128" spans="1:57" ht="15.75" customHeight="1">
      <c r="A128" s="1206"/>
      <c r="B128" s="2165" t="s">
        <v>2173</v>
      </c>
      <c r="C128" s="2166"/>
      <c r="D128" s="2166"/>
      <c r="E128" s="2166"/>
      <c r="F128" s="2166"/>
      <c r="G128" s="2166"/>
      <c r="H128" s="2166"/>
      <c r="I128" s="1952">
        <v>35</v>
      </c>
      <c r="J128" s="1952"/>
      <c r="K128" s="1952"/>
      <c r="L128" s="1952"/>
      <c r="M128" s="1952"/>
      <c r="N128" s="1952"/>
      <c r="O128" s="1952">
        <v>4</v>
      </c>
      <c r="P128" s="1952"/>
      <c r="Q128" s="1952"/>
      <c r="R128" s="1952"/>
      <c r="S128" s="1952"/>
      <c r="T128" s="1952"/>
      <c r="U128" s="1958"/>
      <c r="V128" s="1206"/>
      <c r="W128" s="1206"/>
      <c r="X128" s="2141"/>
      <c r="Y128" s="2139"/>
      <c r="Z128" s="2139"/>
      <c r="AA128" s="2139"/>
      <c r="AB128" s="2139"/>
      <c r="AC128" s="2139"/>
      <c r="AD128" s="2139"/>
      <c r="AE128" s="2139"/>
      <c r="AF128" s="2139"/>
      <c r="AG128" s="2139"/>
      <c r="AH128" s="2139"/>
      <c r="AI128" s="2139"/>
      <c r="AJ128" s="2139"/>
      <c r="AK128" s="2139"/>
      <c r="AL128" s="2139"/>
      <c r="AM128" s="2139"/>
      <c r="AN128" s="2139"/>
      <c r="AO128" s="2139"/>
      <c r="AP128" s="2139"/>
      <c r="AQ128" s="2139"/>
      <c r="AR128" s="2139"/>
      <c r="AS128" s="2139"/>
      <c r="AT128" s="2139"/>
      <c r="AU128" s="2139"/>
      <c r="AV128" s="2139"/>
      <c r="AW128" s="2139"/>
      <c r="AX128" s="2139"/>
      <c r="AY128" s="2139"/>
      <c r="AZ128" s="2139"/>
      <c r="BA128" s="2139"/>
      <c r="BB128" s="2139"/>
      <c r="BC128" s="2139"/>
      <c r="BD128" s="2140"/>
      <c r="BE128" s="1202"/>
    </row>
    <row r="129" spans="1:57" ht="15.75" customHeight="1" thickBot="1">
      <c r="A129" s="1206"/>
      <c r="B129" s="2167" t="s">
        <v>2174</v>
      </c>
      <c r="C129" s="2168"/>
      <c r="D129" s="2168"/>
      <c r="E129" s="2168"/>
      <c r="F129" s="2168"/>
      <c r="G129" s="2168"/>
      <c r="H129" s="2168"/>
      <c r="I129" s="1972">
        <v>2</v>
      </c>
      <c r="J129" s="1972"/>
      <c r="K129" s="1972"/>
      <c r="L129" s="1972"/>
      <c r="M129" s="1972"/>
      <c r="N129" s="1972"/>
      <c r="O129" s="2163"/>
      <c r="P129" s="2163"/>
      <c r="Q129" s="2163"/>
      <c r="R129" s="2163"/>
      <c r="S129" s="2163"/>
      <c r="T129" s="2163"/>
      <c r="U129" s="2164"/>
      <c r="V129" s="1206"/>
      <c r="W129" s="1206"/>
      <c r="X129" s="2141"/>
      <c r="Y129" s="2139"/>
      <c r="Z129" s="2139"/>
      <c r="AA129" s="2139"/>
      <c r="AB129" s="2139"/>
      <c r="AC129" s="2139"/>
      <c r="AD129" s="2139"/>
      <c r="AE129" s="2139"/>
      <c r="AF129" s="2139"/>
      <c r="AG129" s="2139"/>
      <c r="AH129" s="2139"/>
      <c r="AI129" s="2139"/>
      <c r="AJ129" s="2139"/>
      <c r="AK129" s="2139"/>
      <c r="AL129" s="2139"/>
      <c r="AM129" s="2139"/>
      <c r="AN129" s="2139"/>
      <c r="AO129" s="2139"/>
      <c r="AP129" s="2139"/>
      <c r="AQ129" s="2139"/>
      <c r="AR129" s="2139"/>
      <c r="AS129" s="2139"/>
      <c r="AT129" s="2139"/>
      <c r="AU129" s="2139"/>
      <c r="AV129" s="2139"/>
      <c r="AW129" s="2139"/>
      <c r="AX129" s="2139"/>
      <c r="AY129" s="2139"/>
      <c r="AZ129" s="2139"/>
      <c r="BA129" s="2139"/>
      <c r="BB129" s="2139"/>
      <c r="BC129" s="2139"/>
      <c r="BD129" s="214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141"/>
      <c r="Y130" s="2139"/>
      <c r="Z130" s="2139"/>
      <c r="AA130" s="2139"/>
      <c r="AB130" s="2139"/>
      <c r="AC130" s="2139"/>
      <c r="AD130" s="2139"/>
      <c r="AE130" s="2139"/>
      <c r="AF130" s="2139"/>
      <c r="AG130" s="2139"/>
      <c r="AH130" s="2139"/>
      <c r="AI130" s="2139"/>
      <c r="AJ130" s="2139"/>
      <c r="AK130" s="2139"/>
      <c r="AL130" s="2139"/>
      <c r="AM130" s="2139"/>
      <c r="AN130" s="2139"/>
      <c r="AO130" s="2139"/>
      <c r="AP130" s="2139"/>
      <c r="AQ130" s="2139"/>
      <c r="AR130" s="2139"/>
      <c r="AS130" s="2139"/>
      <c r="AT130" s="2139"/>
      <c r="AU130" s="2139"/>
      <c r="AV130" s="2139"/>
      <c r="AW130" s="2139"/>
      <c r="AX130" s="2139"/>
      <c r="AY130" s="2139"/>
      <c r="AZ130" s="2139"/>
      <c r="BA130" s="2139"/>
      <c r="BB130" s="2139"/>
      <c r="BC130" s="2139"/>
      <c r="BD130" s="2140"/>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141"/>
      <c r="Y131" s="2139"/>
      <c r="Z131" s="2139"/>
      <c r="AA131" s="2139"/>
      <c r="AB131" s="2139"/>
      <c r="AC131" s="2139"/>
      <c r="AD131" s="2139"/>
      <c r="AE131" s="2139"/>
      <c r="AF131" s="2139"/>
      <c r="AG131" s="2139"/>
      <c r="AH131" s="2139"/>
      <c r="AI131" s="2139"/>
      <c r="AJ131" s="2139"/>
      <c r="AK131" s="2139"/>
      <c r="AL131" s="2139"/>
      <c r="AM131" s="2139"/>
      <c r="AN131" s="2139"/>
      <c r="AO131" s="2139"/>
      <c r="AP131" s="2139"/>
      <c r="AQ131" s="2139"/>
      <c r="AR131" s="2139"/>
      <c r="AS131" s="2139"/>
      <c r="AT131" s="2139"/>
      <c r="AU131" s="2139"/>
      <c r="AV131" s="2139"/>
      <c r="AW131" s="2139"/>
      <c r="AX131" s="2139"/>
      <c r="AY131" s="2139"/>
      <c r="AZ131" s="2139"/>
      <c r="BA131" s="2139"/>
      <c r="BB131" s="2139"/>
      <c r="BC131" s="2139"/>
      <c r="BD131" s="214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141"/>
      <c r="Y132" s="2139"/>
      <c r="Z132" s="2139"/>
      <c r="AA132" s="2139"/>
      <c r="AB132" s="2139"/>
      <c r="AC132" s="2139"/>
      <c r="AD132" s="2139"/>
      <c r="AE132" s="2139"/>
      <c r="AF132" s="2139"/>
      <c r="AG132" s="2139"/>
      <c r="AH132" s="2139"/>
      <c r="AI132" s="2139"/>
      <c r="AJ132" s="2139"/>
      <c r="AK132" s="2139"/>
      <c r="AL132" s="2139"/>
      <c r="AM132" s="2139"/>
      <c r="AN132" s="2139"/>
      <c r="AO132" s="2139"/>
      <c r="AP132" s="2139"/>
      <c r="AQ132" s="2139"/>
      <c r="AR132" s="2139"/>
      <c r="AS132" s="2139"/>
      <c r="AT132" s="2139"/>
      <c r="AU132" s="2139"/>
      <c r="AV132" s="2139"/>
      <c r="AW132" s="2139"/>
      <c r="AX132" s="2139"/>
      <c r="AY132" s="2139"/>
      <c r="AZ132" s="2139"/>
      <c r="BA132" s="2139"/>
      <c r="BB132" s="2139"/>
      <c r="BC132" s="2139"/>
      <c r="BD132" s="2140"/>
      <c r="BE132" s="1202"/>
    </row>
    <row r="133" spans="1:57" ht="15.75" customHeight="1">
      <c r="A133" s="1206"/>
      <c r="B133" s="2017" t="s">
        <v>1831</v>
      </c>
      <c r="C133" s="2018"/>
      <c r="D133" s="2018"/>
      <c r="E133" s="2018"/>
      <c r="F133" s="2018"/>
      <c r="G133" s="2018"/>
      <c r="H133" s="2018"/>
      <c r="I133" s="2018"/>
      <c r="J133" s="2018"/>
      <c r="K133" s="2018"/>
      <c r="L133" s="2018"/>
      <c r="M133" s="2018"/>
      <c r="N133" s="2018"/>
      <c r="O133" s="2018"/>
      <c r="P133" s="2018"/>
      <c r="Q133" s="2018"/>
      <c r="R133" s="2018"/>
      <c r="S133" s="2018"/>
      <c r="T133" s="2018"/>
      <c r="U133" s="2019"/>
      <c r="V133" s="1206"/>
      <c r="W133" s="1206"/>
      <c r="X133" s="2141"/>
      <c r="Y133" s="2139"/>
      <c r="Z133" s="2139"/>
      <c r="AA133" s="2139"/>
      <c r="AB133" s="2139"/>
      <c r="AC133" s="2139"/>
      <c r="AD133" s="2139"/>
      <c r="AE133" s="2139"/>
      <c r="AF133" s="2139"/>
      <c r="AG133" s="2139"/>
      <c r="AH133" s="2139"/>
      <c r="AI133" s="2139"/>
      <c r="AJ133" s="2139"/>
      <c r="AK133" s="2139"/>
      <c r="AL133" s="2139"/>
      <c r="AM133" s="2139"/>
      <c r="AN133" s="2139"/>
      <c r="AO133" s="2139"/>
      <c r="AP133" s="2139"/>
      <c r="AQ133" s="2139"/>
      <c r="AR133" s="2139"/>
      <c r="AS133" s="2139"/>
      <c r="AT133" s="2139"/>
      <c r="AU133" s="2139"/>
      <c r="AV133" s="2139"/>
      <c r="AW133" s="2139"/>
      <c r="AX133" s="2139"/>
      <c r="AY133" s="2139"/>
      <c r="AZ133" s="2139"/>
      <c r="BA133" s="2139"/>
      <c r="BB133" s="2139"/>
      <c r="BC133" s="2139"/>
      <c r="BD133" s="2140"/>
      <c r="BE133" s="1202"/>
    </row>
    <row r="134" spans="1:57" ht="15.75" customHeight="1">
      <c r="A134" s="1206"/>
      <c r="B134" s="2159"/>
      <c r="C134" s="2160"/>
      <c r="D134" s="2160"/>
      <c r="E134" s="2160"/>
      <c r="F134" s="2160"/>
      <c r="G134" s="2160"/>
      <c r="H134" s="2160"/>
      <c r="I134" s="2184" t="s">
        <v>1826</v>
      </c>
      <c r="J134" s="2184"/>
      <c r="K134" s="2184"/>
      <c r="L134" s="2184"/>
      <c r="M134" s="2184"/>
      <c r="N134" s="2184"/>
      <c r="O134" s="2184"/>
      <c r="P134" s="2184" t="s">
        <v>2183</v>
      </c>
      <c r="Q134" s="2184"/>
      <c r="R134" s="2184"/>
      <c r="S134" s="2184"/>
      <c r="T134" s="2184"/>
      <c r="U134" s="2185"/>
      <c r="V134" s="1206"/>
      <c r="W134" s="1206"/>
      <c r="X134" s="2141"/>
      <c r="Y134" s="2139"/>
      <c r="Z134" s="2139"/>
      <c r="AA134" s="2139"/>
      <c r="AB134" s="2139"/>
      <c r="AC134" s="2139"/>
      <c r="AD134" s="2139"/>
      <c r="AE134" s="2139"/>
      <c r="AF134" s="2139"/>
      <c r="AG134" s="2139"/>
      <c r="AH134" s="2139"/>
      <c r="AI134" s="2139"/>
      <c r="AJ134" s="2139"/>
      <c r="AK134" s="2139"/>
      <c r="AL134" s="2139"/>
      <c r="AM134" s="2139"/>
      <c r="AN134" s="2139"/>
      <c r="AO134" s="2139"/>
      <c r="AP134" s="2139"/>
      <c r="AQ134" s="2139"/>
      <c r="AR134" s="2139"/>
      <c r="AS134" s="2139"/>
      <c r="AT134" s="2139"/>
      <c r="AU134" s="2139"/>
      <c r="AV134" s="2139"/>
      <c r="AW134" s="2139"/>
      <c r="AX134" s="2139"/>
      <c r="AY134" s="2139"/>
      <c r="AZ134" s="2139"/>
      <c r="BA134" s="2139"/>
      <c r="BB134" s="2139"/>
      <c r="BC134" s="2139"/>
      <c r="BD134" s="2140"/>
      <c r="BE134" s="1202"/>
    </row>
    <row r="135" spans="1:57" ht="15.75" customHeight="1">
      <c r="A135" s="1206"/>
      <c r="B135" s="2159"/>
      <c r="C135" s="2160"/>
      <c r="D135" s="2160"/>
      <c r="E135" s="2160"/>
      <c r="F135" s="2160"/>
      <c r="G135" s="2160"/>
      <c r="H135" s="2160"/>
      <c r="I135" s="2184"/>
      <c r="J135" s="2184"/>
      <c r="K135" s="2184"/>
      <c r="L135" s="2184"/>
      <c r="M135" s="2184"/>
      <c r="N135" s="2184"/>
      <c r="O135" s="2184"/>
      <c r="P135" s="2184"/>
      <c r="Q135" s="2184"/>
      <c r="R135" s="2184"/>
      <c r="S135" s="2184"/>
      <c r="T135" s="2184"/>
      <c r="U135" s="2185"/>
      <c r="V135" s="1206"/>
      <c r="W135" s="1206"/>
      <c r="X135" s="2141"/>
      <c r="Y135" s="2139"/>
      <c r="Z135" s="2139"/>
      <c r="AA135" s="2139"/>
      <c r="AB135" s="2139"/>
      <c r="AC135" s="2139"/>
      <c r="AD135" s="2139"/>
      <c r="AE135" s="2139"/>
      <c r="AF135" s="2139"/>
      <c r="AG135" s="2139"/>
      <c r="AH135" s="2139"/>
      <c r="AI135" s="2139"/>
      <c r="AJ135" s="2139"/>
      <c r="AK135" s="2139"/>
      <c r="AL135" s="2139"/>
      <c r="AM135" s="2139"/>
      <c r="AN135" s="2139"/>
      <c r="AO135" s="2139"/>
      <c r="AP135" s="2139"/>
      <c r="AQ135" s="2139"/>
      <c r="AR135" s="2139"/>
      <c r="AS135" s="2139"/>
      <c r="AT135" s="2139"/>
      <c r="AU135" s="2139"/>
      <c r="AV135" s="2139"/>
      <c r="AW135" s="2139"/>
      <c r="AX135" s="2139"/>
      <c r="AY135" s="2139"/>
      <c r="AZ135" s="2139"/>
      <c r="BA135" s="2139"/>
      <c r="BB135" s="2139"/>
      <c r="BC135" s="2139"/>
      <c r="BD135" s="2140"/>
      <c r="BE135" s="1202"/>
    </row>
    <row r="136" spans="1:57" ht="15.75" customHeight="1">
      <c r="A136" s="1206"/>
      <c r="B136" s="2165" t="s">
        <v>2173</v>
      </c>
      <c r="C136" s="2166"/>
      <c r="D136" s="2166"/>
      <c r="E136" s="2166"/>
      <c r="F136" s="2166"/>
      <c r="G136" s="2166"/>
      <c r="H136" s="2166"/>
      <c r="I136" s="1952">
        <v>6</v>
      </c>
      <c r="J136" s="1952"/>
      <c r="K136" s="1952"/>
      <c r="L136" s="1952"/>
      <c r="M136" s="1952"/>
      <c r="N136" s="1952"/>
      <c r="O136" s="1952"/>
      <c r="P136" s="1952">
        <v>3</v>
      </c>
      <c r="Q136" s="1952"/>
      <c r="R136" s="1952"/>
      <c r="S136" s="1952"/>
      <c r="T136" s="1952"/>
      <c r="U136" s="1958"/>
      <c r="V136" s="1206"/>
      <c r="W136" s="1206"/>
      <c r="X136" s="2141"/>
      <c r="Y136" s="2139"/>
      <c r="Z136" s="2139"/>
      <c r="AA136" s="2139"/>
      <c r="AB136" s="2139"/>
      <c r="AC136" s="2139"/>
      <c r="AD136" s="2139"/>
      <c r="AE136" s="2139"/>
      <c r="AF136" s="2139"/>
      <c r="AG136" s="2139"/>
      <c r="AH136" s="2139"/>
      <c r="AI136" s="2139"/>
      <c r="AJ136" s="2139"/>
      <c r="AK136" s="2139"/>
      <c r="AL136" s="2139"/>
      <c r="AM136" s="2139"/>
      <c r="AN136" s="2139"/>
      <c r="AO136" s="2139"/>
      <c r="AP136" s="2139"/>
      <c r="AQ136" s="2139"/>
      <c r="AR136" s="2139"/>
      <c r="AS136" s="2139"/>
      <c r="AT136" s="2139"/>
      <c r="AU136" s="2139"/>
      <c r="AV136" s="2139"/>
      <c r="AW136" s="2139"/>
      <c r="AX136" s="2139"/>
      <c r="AY136" s="2139"/>
      <c r="AZ136" s="2139"/>
      <c r="BA136" s="2139"/>
      <c r="BB136" s="2139"/>
      <c r="BC136" s="2139"/>
      <c r="BD136" s="2140"/>
      <c r="BE136" s="1202"/>
    </row>
    <row r="137" spans="1:57" ht="15.75" customHeight="1" thickBot="1">
      <c r="A137" s="1206"/>
      <c r="B137" s="2167" t="s">
        <v>2174</v>
      </c>
      <c r="C137" s="2168"/>
      <c r="D137" s="2168"/>
      <c r="E137" s="2168"/>
      <c r="F137" s="2168"/>
      <c r="G137" s="2168"/>
      <c r="H137" s="2168"/>
      <c r="I137" s="1972">
        <v>0</v>
      </c>
      <c r="J137" s="1972"/>
      <c r="K137" s="1972"/>
      <c r="L137" s="1972"/>
      <c r="M137" s="1972"/>
      <c r="N137" s="1972"/>
      <c r="O137" s="1972"/>
      <c r="P137" s="1972">
        <v>0</v>
      </c>
      <c r="Q137" s="1972"/>
      <c r="R137" s="1972"/>
      <c r="S137" s="1972"/>
      <c r="T137" s="1972"/>
      <c r="U137" s="1973"/>
      <c r="V137" s="1206"/>
      <c r="W137" s="1206"/>
      <c r="X137" s="2142"/>
      <c r="Y137" s="2143"/>
      <c r="Z137" s="2143"/>
      <c r="AA137" s="2143"/>
      <c r="AB137" s="2143"/>
      <c r="AC137" s="2143"/>
      <c r="AD137" s="2143"/>
      <c r="AE137" s="2143"/>
      <c r="AF137" s="2143"/>
      <c r="AG137" s="2143"/>
      <c r="AH137" s="2143"/>
      <c r="AI137" s="2143"/>
      <c r="AJ137" s="2143"/>
      <c r="AK137" s="2143"/>
      <c r="AL137" s="2143"/>
      <c r="AM137" s="2143"/>
      <c r="AN137" s="2143"/>
      <c r="AO137" s="2143"/>
      <c r="AP137" s="2143"/>
      <c r="AQ137" s="2143"/>
      <c r="AR137" s="2143"/>
      <c r="AS137" s="2143"/>
      <c r="AT137" s="2143"/>
      <c r="AU137" s="2143"/>
      <c r="AV137" s="2143"/>
      <c r="AW137" s="2143"/>
      <c r="AX137" s="2143"/>
      <c r="AY137" s="2143"/>
      <c r="AZ137" s="2143"/>
      <c r="BA137" s="2143"/>
      <c r="BB137" s="2143"/>
      <c r="BC137" s="2143"/>
      <c r="BD137" s="214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169" t="s">
        <v>1832</v>
      </c>
      <c r="C139" s="2170"/>
      <c r="D139" s="2170"/>
      <c r="E139" s="2170"/>
      <c r="F139" s="2170"/>
      <c r="G139" s="2170"/>
      <c r="H139" s="2170"/>
      <c r="I139" s="2170"/>
      <c r="J139" s="2170"/>
      <c r="K139" s="2170"/>
      <c r="L139" s="2170"/>
      <c r="M139" s="2170"/>
      <c r="N139" s="2170"/>
      <c r="O139" s="2170"/>
      <c r="P139" s="2170"/>
      <c r="Q139" s="2170"/>
      <c r="R139" s="2170"/>
      <c r="S139" s="2170"/>
      <c r="T139" s="2170"/>
      <c r="U139" s="2170"/>
      <c r="V139" s="2170"/>
      <c r="W139" s="2170"/>
      <c r="X139" s="2170"/>
      <c r="Y139" s="2170"/>
      <c r="Z139" s="2170"/>
      <c r="AA139" s="2170"/>
      <c r="AB139" s="2170"/>
      <c r="AC139" s="2170"/>
      <c r="AD139" s="2170"/>
      <c r="AE139" s="2170"/>
      <c r="AF139" s="2170"/>
      <c r="AG139" s="2170"/>
      <c r="AH139" s="2171" t="s">
        <v>553</v>
      </c>
      <c r="AI139" s="2171"/>
      <c r="AJ139" s="2171"/>
      <c r="AK139" s="2171"/>
      <c r="AL139" s="2171"/>
      <c r="AM139" s="2171"/>
      <c r="AN139" s="2171"/>
      <c r="AO139" s="2171"/>
      <c r="AP139" s="2171"/>
      <c r="AQ139" s="2171"/>
      <c r="AR139" s="2171"/>
      <c r="AS139" s="2171"/>
      <c r="AT139" s="2171"/>
      <c r="AU139" s="2171"/>
      <c r="AV139" s="2171"/>
      <c r="AW139" s="2171"/>
      <c r="AX139" s="2172"/>
      <c r="AY139" s="1206"/>
      <c r="AZ139" s="1206"/>
      <c r="BA139" s="1206"/>
      <c r="BB139" s="1206"/>
      <c r="BC139" s="1206"/>
      <c r="BD139" s="1206"/>
      <c r="BE139" s="1202"/>
    </row>
    <row r="140" spans="1:57" ht="15.75" customHeight="1">
      <c r="A140" s="1206"/>
      <c r="B140" s="2173" t="s">
        <v>1833</v>
      </c>
      <c r="C140" s="2174"/>
      <c r="D140" s="2174"/>
      <c r="E140" s="2174"/>
      <c r="F140" s="2174"/>
      <c r="G140" s="2174"/>
      <c r="H140" s="2174"/>
      <c r="I140" s="2174"/>
      <c r="J140" s="2174"/>
      <c r="K140" s="2174"/>
      <c r="L140" s="2174"/>
      <c r="M140" s="2174"/>
      <c r="N140" s="2174"/>
      <c r="O140" s="2174"/>
      <c r="P140" s="2174"/>
      <c r="Q140" s="2174"/>
      <c r="R140" s="2175" t="s">
        <v>2185</v>
      </c>
      <c r="S140" s="2175"/>
      <c r="T140" s="2175"/>
      <c r="U140" s="2175"/>
      <c r="V140" s="2175"/>
      <c r="W140" s="2175"/>
      <c r="X140" s="2175"/>
      <c r="Y140" s="2175"/>
      <c r="Z140" s="2175"/>
      <c r="AA140" s="2175"/>
      <c r="AB140" s="2175"/>
      <c r="AC140" s="2175"/>
      <c r="AD140" s="2175"/>
      <c r="AE140" s="2175"/>
      <c r="AF140" s="2175"/>
      <c r="AG140" s="2175"/>
      <c r="AH140" s="2175"/>
      <c r="AI140" s="2175"/>
      <c r="AJ140" s="2175"/>
      <c r="AK140" s="2175"/>
      <c r="AL140" s="2175"/>
      <c r="AM140" s="2175"/>
      <c r="AN140" s="2175"/>
      <c r="AO140" s="2175"/>
      <c r="AP140" s="2175"/>
      <c r="AQ140" s="2175"/>
      <c r="AR140" s="2175"/>
      <c r="AS140" s="2175"/>
      <c r="AT140" s="2175"/>
      <c r="AU140" s="2175"/>
      <c r="AV140" s="2175"/>
      <c r="AW140" s="2175"/>
      <c r="AX140" s="2176"/>
      <c r="AY140" s="1206"/>
      <c r="AZ140" s="1206"/>
      <c r="BA140" s="1206"/>
      <c r="BB140" s="1206"/>
      <c r="BC140" s="1206" t="s">
        <v>251</v>
      </c>
      <c r="BD140" s="1206"/>
      <c r="BE140" s="1202"/>
    </row>
    <row r="141" spans="1:57" ht="15.75" customHeight="1">
      <c r="A141" s="1206"/>
      <c r="B141" s="2177" t="s">
        <v>2714</v>
      </c>
      <c r="C141" s="2178"/>
      <c r="D141" s="2178"/>
      <c r="E141" s="2178"/>
      <c r="F141" s="2178"/>
      <c r="G141" s="2178"/>
      <c r="H141" s="2178"/>
      <c r="I141" s="2178"/>
      <c r="J141" s="2178"/>
      <c r="K141" s="2178"/>
      <c r="L141" s="2178"/>
      <c r="M141" s="2178"/>
      <c r="N141" s="2178"/>
      <c r="O141" s="2178"/>
      <c r="P141" s="2178"/>
      <c r="Q141" s="2178"/>
      <c r="R141" s="2178"/>
      <c r="S141" s="2178"/>
      <c r="T141" s="2178"/>
      <c r="U141" s="2178"/>
      <c r="V141" s="2178"/>
      <c r="W141" s="2178"/>
      <c r="X141" s="2178"/>
      <c r="Y141" s="2178"/>
      <c r="Z141" s="2178"/>
      <c r="AA141" s="2178"/>
      <c r="AB141" s="2178"/>
      <c r="AC141" s="2178"/>
      <c r="AD141" s="2178"/>
      <c r="AE141" s="2178"/>
      <c r="AF141" s="2178"/>
      <c r="AG141" s="2178"/>
      <c r="AH141" s="2178"/>
      <c r="AI141" s="2178"/>
      <c r="AJ141" s="2178"/>
      <c r="AK141" s="2178"/>
      <c r="AL141" s="2178"/>
      <c r="AM141" s="2178"/>
      <c r="AN141" s="2178"/>
      <c r="AO141" s="2178"/>
      <c r="AP141" s="2178"/>
      <c r="AQ141" s="2178"/>
      <c r="AR141" s="2178"/>
      <c r="AS141" s="2178"/>
      <c r="AT141" s="2178"/>
      <c r="AU141" s="2178"/>
      <c r="AV141" s="2178"/>
      <c r="AW141" s="2178"/>
      <c r="AX141" s="2179"/>
      <c r="AY141" s="1206"/>
      <c r="AZ141" s="1206"/>
      <c r="BA141" s="1206"/>
      <c r="BB141" s="1206"/>
      <c r="BC141" s="1206"/>
      <c r="BD141" s="1206"/>
      <c r="BE141" s="1202"/>
    </row>
    <row r="142" spans="1:57" ht="15.75" customHeight="1">
      <c r="A142" s="1206"/>
      <c r="B142" s="2180"/>
      <c r="C142" s="2178"/>
      <c r="D142" s="2178"/>
      <c r="E142" s="2178"/>
      <c r="F142" s="2178"/>
      <c r="G142" s="2178"/>
      <c r="H142" s="2178"/>
      <c r="I142" s="2178"/>
      <c r="J142" s="2178"/>
      <c r="K142" s="2178"/>
      <c r="L142" s="2178"/>
      <c r="M142" s="2178"/>
      <c r="N142" s="2178"/>
      <c r="O142" s="2178"/>
      <c r="P142" s="2178"/>
      <c r="Q142" s="2178"/>
      <c r="R142" s="2178"/>
      <c r="S142" s="2178"/>
      <c r="T142" s="2178"/>
      <c r="U142" s="2178"/>
      <c r="V142" s="2178"/>
      <c r="W142" s="2178"/>
      <c r="X142" s="2178"/>
      <c r="Y142" s="2178"/>
      <c r="Z142" s="2178"/>
      <c r="AA142" s="2178"/>
      <c r="AB142" s="2178"/>
      <c r="AC142" s="2178"/>
      <c r="AD142" s="2178"/>
      <c r="AE142" s="2178"/>
      <c r="AF142" s="2178"/>
      <c r="AG142" s="2178"/>
      <c r="AH142" s="2178"/>
      <c r="AI142" s="2178"/>
      <c r="AJ142" s="2178"/>
      <c r="AK142" s="2178"/>
      <c r="AL142" s="2178"/>
      <c r="AM142" s="2178"/>
      <c r="AN142" s="2178"/>
      <c r="AO142" s="2178"/>
      <c r="AP142" s="2178"/>
      <c r="AQ142" s="2178"/>
      <c r="AR142" s="2178"/>
      <c r="AS142" s="2178"/>
      <c r="AT142" s="2178"/>
      <c r="AU142" s="2178"/>
      <c r="AV142" s="2178"/>
      <c r="AW142" s="2178"/>
      <c r="AX142" s="2179"/>
      <c r="AY142" s="1206"/>
      <c r="AZ142" s="1206"/>
      <c r="BA142" s="1206"/>
      <c r="BB142" s="1206"/>
      <c r="BC142" s="1206"/>
      <c r="BD142" s="1206"/>
      <c r="BE142" s="1202"/>
    </row>
    <row r="143" spans="1:57" ht="15.75" customHeight="1">
      <c r="A143" s="1206"/>
      <c r="B143" s="2180"/>
      <c r="C143" s="2178"/>
      <c r="D143" s="2178"/>
      <c r="E143" s="2178"/>
      <c r="F143" s="2178"/>
      <c r="G143" s="2178"/>
      <c r="H143" s="2178"/>
      <c r="I143" s="2178"/>
      <c r="J143" s="2178"/>
      <c r="K143" s="2178"/>
      <c r="L143" s="2178"/>
      <c r="M143" s="2178"/>
      <c r="N143" s="2178"/>
      <c r="O143" s="2178"/>
      <c r="P143" s="2178"/>
      <c r="Q143" s="2178"/>
      <c r="R143" s="2178"/>
      <c r="S143" s="2178"/>
      <c r="T143" s="2178"/>
      <c r="U143" s="2178"/>
      <c r="V143" s="2178"/>
      <c r="W143" s="2178"/>
      <c r="X143" s="2178"/>
      <c r="Y143" s="2178"/>
      <c r="Z143" s="2178"/>
      <c r="AA143" s="2178"/>
      <c r="AB143" s="2178"/>
      <c r="AC143" s="2178"/>
      <c r="AD143" s="2178"/>
      <c r="AE143" s="2178"/>
      <c r="AF143" s="2178"/>
      <c r="AG143" s="2178"/>
      <c r="AH143" s="2178"/>
      <c r="AI143" s="2178"/>
      <c r="AJ143" s="2178"/>
      <c r="AK143" s="2178"/>
      <c r="AL143" s="2178"/>
      <c r="AM143" s="2178"/>
      <c r="AN143" s="2178"/>
      <c r="AO143" s="2178"/>
      <c r="AP143" s="2178"/>
      <c r="AQ143" s="2178"/>
      <c r="AR143" s="2178"/>
      <c r="AS143" s="2178"/>
      <c r="AT143" s="2178"/>
      <c r="AU143" s="2178"/>
      <c r="AV143" s="2178"/>
      <c r="AW143" s="2178"/>
      <c r="AX143" s="2179"/>
      <c r="AY143" s="1206"/>
      <c r="AZ143" s="1206"/>
      <c r="BA143" s="1206"/>
      <c r="BB143" s="1206"/>
      <c r="BC143" s="1206"/>
      <c r="BD143" s="1206"/>
      <c r="BE143" s="1202"/>
    </row>
    <row r="144" spans="1:57" ht="15.75" customHeight="1">
      <c r="A144" s="1206"/>
      <c r="B144" s="2180"/>
      <c r="C144" s="2178"/>
      <c r="D144" s="2178"/>
      <c r="E144" s="2178"/>
      <c r="F144" s="2178"/>
      <c r="G144" s="2178"/>
      <c r="H144" s="2178"/>
      <c r="I144" s="2178"/>
      <c r="J144" s="2178"/>
      <c r="K144" s="2178"/>
      <c r="L144" s="2178"/>
      <c r="M144" s="2178"/>
      <c r="N144" s="2178"/>
      <c r="O144" s="2178"/>
      <c r="P144" s="2178"/>
      <c r="Q144" s="2178"/>
      <c r="R144" s="2178"/>
      <c r="S144" s="2178"/>
      <c r="T144" s="2178"/>
      <c r="U144" s="2178"/>
      <c r="V144" s="2178"/>
      <c r="W144" s="2178"/>
      <c r="X144" s="2178"/>
      <c r="Y144" s="2178"/>
      <c r="Z144" s="2178"/>
      <c r="AA144" s="2178"/>
      <c r="AB144" s="2178"/>
      <c r="AC144" s="2178"/>
      <c r="AD144" s="2178"/>
      <c r="AE144" s="2178"/>
      <c r="AF144" s="2178"/>
      <c r="AG144" s="2178"/>
      <c r="AH144" s="2178"/>
      <c r="AI144" s="2178"/>
      <c r="AJ144" s="2178"/>
      <c r="AK144" s="2178"/>
      <c r="AL144" s="2178"/>
      <c r="AM144" s="2178"/>
      <c r="AN144" s="2178"/>
      <c r="AO144" s="2178"/>
      <c r="AP144" s="2178"/>
      <c r="AQ144" s="2178"/>
      <c r="AR144" s="2178"/>
      <c r="AS144" s="2178"/>
      <c r="AT144" s="2178"/>
      <c r="AU144" s="2178"/>
      <c r="AV144" s="2178"/>
      <c r="AW144" s="2178"/>
      <c r="AX144" s="2179"/>
      <c r="AY144" s="1206"/>
      <c r="AZ144" s="1206"/>
      <c r="BA144" s="1206"/>
      <c r="BB144" s="1206"/>
      <c r="BC144" s="1206"/>
      <c r="BD144" s="1206"/>
      <c r="BE144" s="1202"/>
    </row>
    <row r="145" spans="1:57" ht="15.75" customHeight="1">
      <c r="A145" s="1206"/>
      <c r="B145" s="2180"/>
      <c r="C145" s="2178"/>
      <c r="D145" s="2178"/>
      <c r="E145" s="2178"/>
      <c r="F145" s="2178"/>
      <c r="G145" s="2178"/>
      <c r="H145" s="2178"/>
      <c r="I145" s="2178"/>
      <c r="J145" s="2178"/>
      <c r="K145" s="2178"/>
      <c r="L145" s="2178"/>
      <c r="M145" s="2178"/>
      <c r="N145" s="2178"/>
      <c r="O145" s="2178"/>
      <c r="P145" s="2178"/>
      <c r="Q145" s="2178"/>
      <c r="R145" s="2178"/>
      <c r="S145" s="2178"/>
      <c r="T145" s="2178"/>
      <c r="U145" s="2178"/>
      <c r="V145" s="2178"/>
      <c r="W145" s="2178"/>
      <c r="X145" s="2178"/>
      <c r="Y145" s="2178"/>
      <c r="Z145" s="2178"/>
      <c r="AA145" s="2178"/>
      <c r="AB145" s="2178"/>
      <c r="AC145" s="2178"/>
      <c r="AD145" s="2178"/>
      <c r="AE145" s="2178"/>
      <c r="AF145" s="2178"/>
      <c r="AG145" s="2178"/>
      <c r="AH145" s="2178"/>
      <c r="AI145" s="2178"/>
      <c r="AJ145" s="2178"/>
      <c r="AK145" s="2178"/>
      <c r="AL145" s="2178"/>
      <c r="AM145" s="2178"/>
      <c r="AN145" s="2178"/>
      <c r="AO145" s="2178"/>
      <c r="AP145" s="2178"/>
      <c r="AQ145" s="2178"/>
      <c r="AR145" s="2178"/>
      <c r="AS145" s="2178"/>
      <c r="AT145" s="2178"/>
      <c r="AU145" s="2178"/>
      <c r="AV145" s="2178"/>
      <c r="AW145" s="2178"/>
      <c r="AX145" s="2179"/>
      <c r="AY145" s="1206"/>
      <c r="AZ145" s="1206"/>
      <c r="BA145" s="1206"/>
      <c r="BB145" s="1206"/>
      <c r="BC145" s="1206"/>
      <c r="BD145" s="1206"/>
      <c r="BE145" s="1202"/>
    </row>
    <row r="146" spans="1:57" ht="15.75" customHeight="1">
      <c r="A146" s="1206"/>
      <c r="B146" s="2180"/>
      <c r="C146" s="2178"/>
      <c r="D146" s="2178"/>
      <c r="E146" s="2178"/>
      <c r="F146" s="2178"/>
      <c r="G146" s="2178"/>
      <c r="H146" s="2178"/>
      <c r="I146" s="2178"/>
      <c r="J146" s="2178"/>
      <c r="K146" s="2178"/>
      <c r="L146" s="2178"/>
      <c r="M146" s="2178"/>
      <c r="N146" s="2178"/>
      <c r="O146" s="2178"/>
      <c r="P146" s="2178"/>
      <c r="Q146" s="2178"/>
      <c r="R146" s="2178"/>
      <c r="S146" s="2178"/>
      <c r="T146" s="2178"/>
      <c r="U146" s="2178"/>
      <c r="V146" s="2178"/>
      <c r="W146" s="2178"/>
      <c r="X146" s="2178"/>
      <c r="Y146" s="2178"/>
      <c r="Z146" s="2178"/>
      <c r="AA146" s="2178"/>
      <c r="AB146" s="2178"/>
      <c r="AC146" s="2178"/>
      <c r="AD146" s="2178"/>
      <c r="AE146" s="2178"/>
      <c r="AF146" s="2178"/>
      <c r="AG146" s="2178"/>
      <c r="AH146" s="2178"/>
      <c r="AI146" s="2178"/>
      <c r="AJ146" s="2178"/>
      <c r="AK146" s="2178"/>
      <c r="AL146" s="2178"/>
      <c r="AM146" s="2178"/>
      <c r="AN146" s="2178"/>
      <c r="AO146" s="2178"/>
      <c r="AP146" s="2178"/>
      <c r="AQ146" s="2178"/>
      <c r="AR146" s="2178"/>
      <c r="AS146" s="2178"/>
      <c r="AT146" s="2178"/>
      <c r="AU146" s="2178"/>
      <c r="AV146" s="2178"/>
      <c r="AW146" s="2178"/>
      <c r="AX146" s="2179"/>
      <c r="AY146" s="1206"/>
      <c r="AZ146" s="1206"/>
      <c r="BA146" s="1206"/>
      <c r="BB146" s="1206"/>
      <c r="BC146" s="1206"/>
      <c r="BD146" s="1206"/>
      <c r="BE146" s="1202"/>
    </row>
    <row r="147" spans="1:57" ht="15.75" customHeight="1">
      <c r="A147" s="1206"/>
      <c r="B147" s="2180"/>
      <c r="C147" s="2178"/>
      <c r="D147" s="2178"/>
      <c r="E147" s="2178"/>
      <c r="F147" s="2178"/>
      <c r="G147" s="2178"/>
      <c r="H147" s="2178"/>
      <c r="I147" s="2178"/>
      <c r="J147" s="2178"/>
      <c r="K147" s="2178"/>
      <c r="L147" s="2178"/>
      <c r="M147" s="2178"/>
      <c r="N147" s="2178"/>
      <c r="O147" s="2178"/>
      <c r="P147" s="2178"/>
      <c r="Q147" s="2178"/>
      <c r="R147" s="2178"/>
      <c r="S147" s="2178"/>
      <c r="T147" s="2178"/>
      <c r="U147" s="2178"/>
      <c r="V147" s="2178"/>
      <c r="W147" s="2178"/>
      <c r="X147" s="2178"/>
      <c r="Y147" s="2178"/>
      <c r="Z147" s="2178"/>
      <c r="AA147" s="2178"/>
      <c r="AB147" s="2178"/>
      <c r="AC147" s="2178"/>
      <c r="AD147" s="2178"/>
      <c r="AE147" s="2178"/>
      <c r="AF147" s="2178"/>
      <c r="AG147" s="2178"/>
      <c r="AH147" s="2178"/>
      <c r="AI147" s="2178"/>
      <c r="AJ147" s="2178"/>
      <c r="AK147" s="2178"/>
      <c r="AL147" s="2178"/>
      <c r="AM147" s="2178"/>
      <c r="AN147" s="2178"/>
      <c r="AO147" s="2178"/>
      <c r="AP147" s="2178"/>
      <c r="AQ147" s="2178"/>
      <c r="AR147" s="2178"/>
      <c r="AS147" s="2178"/>
      <c r="AT147" s="2178"/>
      <c r="AU147" s="2178"/>
      <c r="AV147" s="2178"/>
      <c r="AW147" s="2178"/>
      <c r="AX147" s="2179"/>
      <c r="AY147" s="1206"/>
      <c r="AZ147" s="1206"/>
      <c r="BA147" s="1206"/>
      <c r="BB147" s="1206"/>
      <c r="BC147" s="1206"/>
      <c r="BD147" s="1206"/>
      <c r="BE147" s="1202"/>
    </row>
    <row r="148" spans="1:57" ht="15.75" customHeight="1">
      <c r="A148" s="1206"/>
      <c r="B148" s="2180"/>
      <c r="C148" s="2178"/>
      <c r="D148" s="2178"/>
      <c r="E148" s="2178"/>
      <c r="F148" s="2178"/>
      <c r="G148" s="2178"/>
      <c r="H148" s="2178"/>
      <c r="I148" s="2178"/>
      <c r="J148" s="2178"/>
      <c r="K148" s="2178"/>
      <c r="L148" s="2178"/>
      <c r="M148" s="2178"/>
      <c r="N148" s="2178"/>
      <c r="O148" s="2178"/>
      <c r="P148" s="2178"/>
      <c r="Q148" s="2178"/>
      <c r="R148" s="2178"/>
      <c r="S148" s="2178"/>
      <c r="T148" s="2178"/>
      <c r="U148" s="2178"/>
      <c r="V148" s="2178"/>
      <c r="W148" s="2178"/>
      <c r="X148" s="2178"/>
      <c r="Y148" s="2178"/>
      <c r="Z148" s="2178"/>
      <c r="AA148" s="2178"/>
      <c r="AB148" s="2178"/>
      <c r="AC148" s="2178"/>
      <c r="AD148" s="2178"/>
      <c r="AE148" s="2178"/>
      <c r="AF148" s="2178"/>
      <c r="AG148" s="2178"/>
      <c r="AH148" s="2178"/>
      <c r="AI148" s="2178"/>
      <c r="AJ148" s="2178"/>
      <c r="AK148" s="2178"/>
      <c r="AL148" s="2178"/>
      <c r="AM148" s="2178"/>
      <c r="AN148" s="2178"/>
      <c r="AO148" s="2178"/>
      <c r="AP148" s="2178"/>
      <c r="AQ148" s="2178"/>
      <c r="AR148" s="2178"/>
      <c r="AS148" s="2178"/>
      <c r="AT148" s="2178"/>
      <c r="AU148" s="2178"/>
      <c r="AV148" s="2178"/>
      <c r="AW148" s="2178"/>
      <c r="AX148" s="2179"/>
      <c r="AY148" s="1206"/>
      <c r="AZ148" s="1206"/>
      <c r="BA148" s="1206"/>
      <c r="BB148" s="1206"/>
      <c r="BC148" s="1206"/>
      <c r="BD148" s="1206"/>
      <c r="BE148" s="1202"/>
    </row>
    <row r="149" spans="1:57" ht="15.75" customHeight="1">
      <c r="A149" s="1206"/>
      <c r="B149" s="2180"/>
      <c r="C149" s="2178"/>
      <c r="D149" s="2178"/>
      <c r="E149" s="2178"/>
      <c r="F149" s="2178"/>
      <c r="G149" s="2178"/>
      <c r="H149" s="2178"/>
      <c r="I149" s="2178"/>
      <c r="J149" s="2178"/>
      <c r="K149" s="2178"/>
      <c r="L149" s="2178"/>
      <c r="M149" s="2178"/>
      <c r="N149" s="2178"/>
      <c r="O149" s="2178"/>
      <c r="P149" s="2178"/>
      <c r="Q149" s="2178"/>
      <c r="R149" s="2178"/>
      <c r="S149" s="2178"/>
      <c r="T149" s="2178"/>
      <c r="U149" s="2178"/>
      <c r="V149" s="2178"/>
      <c r="W149" s="2178"/>
      <c r="X149" s="2178"/>
      <c r="Y149" s="2178"/>
      <c r="Z149" s="2178"/>
      <c r="AA149" s="2178"/>
      <c r="AB149" s="2178"/>
      <c r="AC149" s="2178"/>
      <c r="AD149" s="2178"/>
      <c r="AE149" s="2178"/>
      <c r="AF149" s="2178"/>
      <c r="AG149" s="2178"/>
      <c r="AH149" s="2178"/>
      <c r="AI149" s="2178"/>
      <c r="AJ149" s="2178"/>
      <c r="AK149" s="2178"/>
      <c r="AL149" s="2178"/>
      <c r="AM149" s="2178"/>
      <c r="AN149" s="2178"/>
      <c r="AO149" s="2178"/>
      <c r="AP149" s="2178"/>
      <c r="AQ149" s="2178"/>
      <c r="AR149" s="2178"/>
      <c r="AS149" s="2178"/>
      <c r="AT149" s="2178"/>
      <c r="AU149" s="2178"/>
      <c r="AV149" s="2178"/>
      <c r="AW149" s="2178"/>
      <c r="AX149" s="2179"/>
      <c r="AY149" s="1206"/>
      <c r="AZ149" s="1206"/>
      <c r="BA149" s="1206"/>
      <c r="BB149" s="1206"/>
      <c r="BC149" s="1206"/>
      <c r="BD149" s="1206"/>
      <c r="BE149" s="1202"/>
    </row>
    <row r="150" spans="1:57" ht="15.75" customHeight="1" thickBot="1">
      <c r="A150" s="1206"/>
      <c r="B150" s="2181"/>
      <c r="C150" s="2182"/>
      <c r="D150" s="2182"/>
      <c r="E150" s="2182"/>
      <c r="F150" s="2182"/>
      <c r="G150" s="2182"/>
      <c r="H150" s="2182"/>
      <c r="I150" s="2182"/>
      <c r="J150" s="2182"/>
      <c r="K150" s="2182"/>
      <c r="L150" s="2182"/>
      <c r="M150" s="2182"/>
      <c r="N150" s="2182"/>
      <c r="O150" s="2182"/>
      <c r="P150" s="2182"/>
      <c r="Q150" s="2182"/>
      <c r="R150" s="2182"/>
      <c r="S150" s="2182"/>
      <c r="T150" s="2182"/>
      <c r="U150" s="2182"/>
      <c r="V150" s="2182"/>
      <c r="W150" s="2182"/>
      <c r="X150" s="2182"/>
      <c r="Y150" s="2182"/>
      <c r="Z150" s="2182"/>
      <c r="AA150" s="2182"/>
      <c r="AB150" s="2182"/>
      <c r="AC150" s="2182"/>
      <c r="AD150" s="2182"/>
      <c r="AE150" s="2182"/>
      <c r="AF150" s="2182"/>
      <c r="AG150" s="2182"/>
      <c r="AH150" s="2182"/>
      <c r="AI150" s="2182"/>
      <c r="AJ150" s="2182"/>
      <c r="AK150" s="2182"/>
      <c r="AL150" s="2182"/>
      <c r="AM150" s="2182"/>
      <c r="AN150" s="2182"/>
      <c r="AO150" s="2182"/>
      <c r="AP150" s="2182"/>
      <c r="AQ150" s="2182"/>
      <c r="AR150" s="2182"/>
      <c r="AS150" s="2182"/>
      <c r="AT150" s="2182"/>
      <c r="AU150" s="2182"/>
      <c r="AV150" s="2182"/>
      <c r="AW150" s="2182"/>
      <c r="AX150" s="218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2186</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105" t="s">
        <v>1835</v>
      </c>
      <c r="C154" s="2106"/>
      <c r="D154" s="2106"/>
      <c r="E154" s="2106"/>
      <c r="F154" s="2106"/>
      <c r="G154" s="2106"/>
      <c r="H154" s="2106"/>
      <c r="I154" s="2106"/>
      <c r="J154" s="2106"/>
      <c r="K154" s="2106"/>
      <c r="L154" s="2106"/>
      <c r="M154" s="2106"/>
      <c r="N154" s="2106"/>
      <c r="O154" s="2106"/>
      <c r="P154" s="2106"/>
      <c r="Q154" s="2106"/>
      <c r="R154" s="2106"/>
      <c r="S154" s="2106"/>
      <c r="T154" s="2106"/>
      <c r="U154" s="2107"/>
      <c r="V154" s="1206"/>
      <c r="W154" s="1214"/>
      <c r="X154" s="2105" t="s">
        <v>2187</v>
      </c>
      <c r="Y154" s="2106"/>
      <c r="Z154" s="2106"/>
      <c r="AA154" s="2106"/>
      <c r="AB154" s="2106"/>
      <c r="AC154" s="2106"/>
      <c r="AD154" s="2106"/>
      <c r="AE154" s="2106"/>
      <c r="AF154" s="2106"/>
      <c r="AG154" s="2106"/>
      <c r="AH154" s="2106"/>
      <c r="AI154" s="2106"/>
      <c r="AJ154" s="2106"/>
      <c r="AK154" s="2106"/>
      <c r="AL154" s="2106"/>
      <c r="AM154" s="2106"/>
      <c r="AN154" s="2106"/>
      <c r="AO154" s="2106"/>
      <c r="AP154" s="2106"/>
      <c r="AQ154" s="2107"/>
      <c r="AR154" s="1206"/>
      <c r="AS154" s="1206"/>
      <c r="AT154" s="1206"/>
      <c r="AU154" s="1206"/>
      <c r="AV154" s="1206"/>
      <c r="AW154" s="1206"/>
      <c r="AX154" s="1206"/>
      <c r="AY154" s="1206"/>
      <c r="AZ154" s="1206"/>
      <c r="BA154" s="1206"/>
      <c r="BB154" s="1206"/>
      <c r="BC154" s="1206"/>
      <c r="BD154" s="1206"/>
      <c r="BE154" s="1202"/>
    </row>
    <row r="155" spans="1:57" ht="15.75" customHeight="1">
      <c r="A155" s="1206"/>
      <c r="B155" s="2159"/>
      <c r="C155" s="2160"/>
      <c r="D155" s="2160"/>
      <c r="E155" s="2160"/>
      <c r="F155" s="2160"/>
      <c r="G155" s="2160"/>
      <c r="H155" s="2160"/>
      <c r="I155" s="2184" t="s">
        <v>1826</v>
      </c>
      <c r="J155" s="2184"/>
      <c r="K155" s="2184"/>
      <c r="L155" s="2184"/>
      <c r="M155" s="2184"/>
      <c r="N155" s="2184"/>
      <c r="O155" s="2184"/>
      <c r="P155" s="2184" t="s">
        <v>2188</v>
      </c>
      <c r="Q155" s="2184"/>
      <c r="R155" s="2184"/>
      <c r="S155" s="2184"/>
      <c r="T155" s="2184"/>
      <c r="U155" s="2185"/>
      <c r="V155" s="1206"/>
      <c r="W155" s="1206"/>
      <c r="X155" s="2159"/>
      <c r="Y155" s="2160"/>
      <c r="Z155" s="2160"/>
      <c r="AA155" s="2160"/>
      <c r="AB155" s="2160"/>
      <c r="AC155" s="2160"/>
      <c r="AD155" s="2160"/>
      <c r="AE155" s="2184" t="s">
        <v>1826</v>
      </c>
      <c r="AF155" s="2184"/>
      <c r="AG155" s="2184"/>
      <c r="AH155" s="2184"/>
      <c r="AI155" s="2184"/>
      <c r="AJ155" s="2184"/>
      <c r="AK155" s="2184"/>
      <c r="AL155" s="2184" t="s">
        <v>2183</v>
      </c>
      <c r="AM155" s="2184"/>
      <c r="AN155" s="2184"/>
      <c r="AO155" s="2184"/>
      <c r="AP155" s="2184"/>
      <c r="AQ155" s="2185"/>
      <c r="AR155" s="1206"/>
      <c r="AS155" s="1206"/>
      <c r="AT155" s="1206"/>
      <c r="AU155" s="1206"/>
      <c r="AV155" s="1206"/>
      <c r="AW155" s="1206"/>
      <c r="AX155" s="1206"/>
      <c r="AY155" s="1206"/>
      <c r="AZ155" s="1206"/>
      <c r="BA155" s="1206"/>
      <c r="BB155" s="1206"/>
      <c r="BC155" s="1206"/>
      <c r="BD155" s="1206"/>
      <c r="BE155" s="1202"/>
    </row>
    <row r="156" spans="1:57" ht="15.75" customHeight="1">
      <c r="A156" s="1206"/>
      <c r="B156" s="2159"/>
      <c r="C156" s="2160"/>
      <c r="D156" s="2160"/>
      <c r="E156" s="2160"/>
      <c r="F156" s="2160"/>
      <c r="G156" s="2160"/>
      <c r="H156" s="2160"/>
      <c r="I156" s="2184"/>
      <c r="J156" s="2184"/>
      <c r="K156" s="2184"/>
      <c r="L156" s="2184"/>
      <c r="M156" s="2184"/>
      <c r="N156" s="2184"/>
      <c r="O156" s="2184"/>
      <c r="P156" s="2184"/>
      <c r="Q156" s="2184"/>
      <c r="R156" s="2184"/>
      <c r="S156" s="2184"/>
      <c r="T156" s="2184"/>
      <c r="U156" s="2185"/>
      <c r="V156" s="1206"/>
      <c r="W156" s="1206"/>
      <c r="X156" s="2159"/>
      <c r="Y156" s="2160"/>
      <c r="Z156" s="2160"/>
      <c r="AA156" s="2160"/>
      <c r="AB156" s="2160"/>
      <c r="AC156" s="2160"/>
      <c r="AD156" s="2160"/>
      <c r="AE156" s="2184"/>
      <c r="AF156" s="2184"/>
      <c r="AG156" s="2184"/>
      <c r="AH156" s="2184"/>
      <c r="AI156" s="2184"/>
      <c r="AJ156" s="2184"/>
      <c r="AK156" s="2184"/>
      <c r="AL156" s="2184"/>
      <c r="AM156" s="2184"/>
      <c r="AN156" s="2184"/>
      <c r="AO156" s="2184"/>
      <c r="AP156" s="2184"/>
      <c r="AQ156" s="218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165" t="s">
        <v>2173</v>
      </c>
      <c r="C157" s="2166"/>
      <c r="D157" s="2166"/>
      <c r="E157" s="2166"/>
      <c r="F157" s="2166"/>
      <c r="G157" s="2166"/>
      <c r="H157" s="2166"/>
      <c r="I157" s="1952"/>
      <c r="J157" s="1952"/>
      <c r="K157" s="1952"/>
      <c r="L157" s="1952"/>
      <c r="M157" s="1952"/>
      <c r="N157" s="1952"/>
      <c r="O157" s="1952"/>
      <c r="P157" s="1952"/>
      <c r="Q157" s="1952"/>
      <c r="R157" s="1952"/>
      <c r="S157" s="1952"/>
      <c r="T157" s="1952"/>
      <c r="U157" s="1958"/>
      <c r="V157" s="1206"/>
      <c r="W157" s="1206"/>
      <c r="X157" s="2167" t="s">
        <v>2173</v>
      </c>
      <c r="Y157" s="2168"/>
      <c r="Z157" s="2168"/>
      <c r="AA157" s="2168"/>
      <c r="AB157" s="2168"/>
      <c r="AC157" s="2168"/>
      <c r="AD157" s="2168"/>
      <c r="AE157" s="1972">
        <v>0</v>
      </c>
      <c r="AF157" s="1972"/>
      <c r="AG157" s="1972"/>
      <c r="AH157" s="1972"/>
      <c r="AI157" s="1972"/>
      <c r="AJ157" s="1972"/>
      <c r="AK157" s="1972"/>
      <c r="AL157" s="1972">
        <v>0</v>
      </c>
      <c r="AM157" s="1972"/>
      <c r="AN157" s="1972"/>
      <c r="AO157" s="1972"/>
      <c r="AP157" s="1972"/>
      <c r="AQ157" s="1973"/>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167" t="s">
        <v>2174</v>
      </c>
      <c r="C158" s="2168"/>
      <c r="D158" s="2168"/>
      <c r="E158" s="2168"/>
      <c r="F158" s="2168"/>
      <c r="G158" s="2168"/>
      <c r="H158" s="2168"/>
      <c r="I158" s="1972"/>
      <c r="J158" s="1972"/>
      <c r="K158" s="1972"/>
      <c r="L158" s="1972"/>
      <c r="M158" s="1972"/>
      <c r="N158" s="1972"/>
      <c r="O158" s="1972"/>
      <c r="P158" s="1972"/>
      <c r="Q158" s="1972"/>
      <c r="R158" s="1972"/>
      <c r="S158" s="1972"/>
      <c r="T158" s="1972"/>
      <c r="U158" s="1973"/>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105" t="s">
        <v>2175</v>
      </c>
      <c r="D160" s="2106"/>
      <c r="E160" s="2106"/>
      <c r="F160" s="2106"/>
      <c r="G160" s="2106"/>
      <c r="H160" s="2106"/>
      <c r="I160" s="2106"/>
      <c r="J160" s="2106"/>
      <c r="K160" s="2106"/>
      <c r="L160" s="2106"/>
      <c r="M160" s="2106"/>
      <c r="N160" s="2106"/>
      <c r="O160" s="2106"/>
      <c r="P160" s="2106"/>
      <c r="Q160" s="2106"/>
      <c r="R160" s="2106"/>
      <c r="S160" s="2106"/>
      <c r="T160" s="2106"/>
      <c r="U160" s="2106"/>
      <c r="V160" s="2106"/>
      <c r="W160" s="2106"/>
      <c r="X160" s="2106"/>
      <c r="Y160" s="2106"/>
      <c r="Z160" s="2106"/>
      <c r="AA160" s="2106"/>
      <c r="AB160" s="2106"/>
      <c r="AC160" s="2106"/>
      <c r="AD160" s="2106"/>
      <c r="AE160" s="2106"/>
      <c r="AF160" s="2106"/>
      <c r="AG160" s="2107"/>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159" t="s">
        <v>1836</v>
      </c>
      <c r="D161" s="2160"/>
      <c r="E161" s="2160"/>
      <c r="F161" s="2160"/>
      <c r="G161" s="2160"/>
      <c r="H161" s="2160"/>
      <c r="I161" s="2160"/>
      <c r="J161" s="2160"/>
      <c r="K161" s="2160"/>
      <c r="L161" s="2160"/>
      <c r="M161" s="2160"/>
      <c r="N161" s="2160"/>
      <c r="O161" s="2160"/>
      <c r="P161" s="2160"/>
      <c r="Q161" s="2160" t="s">
        <v>1837</v>
      </c>
      <c r="R161" s="2160"/>
      <c r="S161" s="2160"/>
      <c r="T161" s="1948" t="s">
        <v>2176</v>
      </c>
      <c r="U161" s="1948"/>
      <c r="V161" s="1948"/>
      <c r="W161" s="1948"/>
      <c r="X161" s="1948"/>
      <c r="Y161" s="1948"/>
      <c r="Z161" s="1948"/>
      <c r="AA161" s="1948"/>
      <c r="AB161" s="2160" t="s">
        <v>1838</v>
      </c>
      <c r="AC161" s="2160"/>
      <c r="AD161" s="2160"/>
      <c r="AE161" s="2160"/>
      <c r="AF161" s="2160"/>
      <c r="AG161" s="218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187" t="s">
        <v>1839</v>
      </c>
      <c r="D162" s="2188"/>
      <c r="E162" s="2188"/>
      <c r="F162" s="2188"/>
      <c r="G162" s="2188"/>
      <c r="H162" s="2188"/>
      <c r="I162" s="2188"/>
      <c r="J162" s="2188"/>
      <c r="K162" s="2188"/>
      <c r="L162" s="2188"/>
      <c r="M162" s="2188"/>
      <c r="N162" s="2188"/>
      <c r="O162" s="2188"/>
      <c r="P162" s="2188"/>
      <c r="Q162" s="2189">
        <v>55</v>
      </c>
      <c r="R162" s="2189"/>
      <c r="S162" s="2189"/>
      <c r="T162" s="2190"/>
      <c r="U162" s="2190"/>
      <c r="V162" s="2190"/>
      <c r="W162" s="2190"/>
      <c r="X162" s="2190"/>
      <c r="Y162" s="2190"/>
      <c r="Z162" s="2190"/>
      <c r="AA162" s="219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187" t="s">
        <v>1840</v>
      </c>
      <c r="D163" s="2188"/>
      <c r="E163" s="2188"/>
      <c r="F163" s="2188"/>
      <c r="G163" s="2188"/>
      <c r="H163" s="2188"/>
      <c r="I163" s="2188"/>
      <c r="J163" s="2188"/>
      <c r="K163" s="2188"/>
      <c r="L163" s="2188"/>
      <c r="M163" s="2188"/>
      <c r="N163" s="2188"/>
      <c r="O163" s="2188"/>
      <c r="P163" s="2188"/>
      <c r="Q163" s="2189">
        <v>55</v>
      </c>
      <c r="R163" s="2189"/>
      <c r="S163" s="2189"/>
      <c r="T163" s="2193"/>
      <c r="U163" s="2193"/>
      <c r="V163" s="2193"/>
      <c r="W163" s="2193"/>
      <c r="X163" s="2193"/>
      <c r="Y163" s="2193"/>
      <c r="Z163" s="2193"/>
      <c r="AA163" s="219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187" t="s">
        <v>1841</v>
      </c>
      <c r="D164" s="2188"/>
      <c r="E164" s="2188"/>
      <c r="F164" s="2188"/>
      <c r="G164" s="2188"/>
      <c r="H164" s="2188"/>
      <c r="I164" s="2188"/>
      <c r="J164" s="2188"/>
      <c r="K164" s="2188"/>
      <c r="L164" s="2188"/>
      <c r="M164" s="2188"/>
      <c r="N164" s="2188"/>
      <c r="O164" s="2188"/>
      <c r="P164" s="2188"/>
      <c r="Q164" s="2189">
        <v>55</v>
      </c>
      <c r="R164" s="2189"/>
      <c r="S164" s="2189"/>
      <c r="T164" s="2190"/>
      <c r="U164" s="2190"/>
      <c r="V164" s="2190"/>
      <c r="W164" s="2190"/>
      <c r="X164" s="2190"/>
      <c r="Y164" s="2190"/>
      <c r="Z164" s="2190"/>
      <c r="AA164" s="219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187" t="s">
        <v>1812</v>
      </c>
      <c r="D165" s="2188"/>
      <c r="E165" s="2188"/>
      <c r="F165" s="2188"/>
      <c r="G165" s="2188"/>
      <c r="H165" s="2188"/>
      <c r="I165" s="2188"/>
      <c r="J165" s="2188"/>
      <c r="K165" s="2188"/>
      <c r="L165" s="2188"/>
      <c r="M165" s="2188"/>
      <c r="N165" s="2188"/>
      <c r="O165" s="2188"/>
      <c r="P165" s="2188"/>
      <c r="Q165" s="2189">
        <v>55</v>
      </c>
      <c r="R165" s="2189"/>
      <c r="S165" s="2189"/>
      <c r="T165" s="2190"/>
      <c r="U165" s="2190"/>
      <c r="V165" s="2190"/>
      <c r="W165" s="2190"/>
      <c r="X165" s="2190"/>
      <c r="Y165" s="2190"/>
      <c r="Z165" s="2190"/>
      <c r="AA165" s="2190"/>
      <c r="AB165" s="2191">
        <v>0</v>
      </c>
      <c r="AC165" s="2191"/>
      <c r="AD165" s="2191"/>
      <c r="AE165" s="2191"/>
      <c r="AF165" s="2191"/>
      <c r="AG165" s="219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187" t="s">
        <v>170</v>
      </c>
      <c r="D166" s="2188"/>
      <c r="E166" s="2188"/>
      <c r="F166" s="2194" t="s">
        <v>1842</v>
      </c>
      <c r="G166" s="2194"/>
      <c r="H166" s="2194"/>
      <c r="I166" s="2194"/>
      <c r="J166" s="2194"/>
      <c r="K166" s="2194"/>
      <c r="L166" s="2194"/>
      <c r="M166" s="2194"/>
      <c r="N166" s="2194"/>
      <c r="O166" s="2194"/>
      <c r="P166" s="2194"/>
      <c r="Q166" s="2189">
        <v>55</v>
      </c>
      <c r="R166" s="2189"/>
      <c r="S166" s="2189"/>
      <c r="T166" s="2193"/>
      <c r="U166" s="2193"/>
      <c r="V166" s="2193"/>
      <c r="W166" s="2193"/>
      <c r="X166" s="2193"/>
      <c r="Y166" s="2193"/>
      <c r="Z166" s="2193"/>
      <c r="AA166" s="2193"/>
      <c r="AB166" s="2191">
        <v>0</v>
      </c>
      <c r="AC166" s="2191"/>
      <c r="AD166" s="2191"/>
      <c r="AE166" s="2191"/>
      <c r="AF166" s="2191"/>
      <c r="AG166" s="219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187" t="s">
        <v>170</v>
      </c>
      <c r="D167" s="2188"/>
      <c r="E167" s="2188"/>
      <c r="F167" s="2194" t="s">
        <v>1842</v>
      </c>
      <c r="G167" s="2194"/>
      <c r="H167" s="2194"/>
      <c r="I167" s="2194"/>
      <c r="J167" s="2194"/>
      <c r="K167" s="2194"/>
      <c r="L167" s="2194"/>
      <c r="M167" s="2194"/>
      <c r="N167" s="2194"/>
      <c r="O167" s="2194"/>
      <c r="P167" s="2194"/>
      <c r="Q167" s="2189">
        <v>55</v>
      </c>
      <c r="R167" s="2189"/>
      <c r="S167" s="2189"/>
      <c r="T167" s="2193"/>
      <c r="U167" s="2193"/>
      <c r="V167" s="2193"/>
      <c r="W167" s="2193"/>
      <c r="X167" s="2193"/>
      <c r="Y167" s="2193"/>
      <c r="Z167" s="2193"/>
      <c r="AA167" s="2193"/>
      <c r="AB167" s="2191">
        <v>0</v>
      </c>
      <c r="AC167" s="2191"/>
      <c r="AD167" s="2191"/>
      <c r="AE167" s="2191"/>
      <c r="AF167" s="2191"/>
      <c r="AG167" s="2192"/>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195" t="s">
        <v>170</v>
      </c>
      <c r="D168" s="2196"/>
      <c r="E168" s="2196"/>
      <c r="F168" s="2197" t="s">
        <v>1842</v>
      </c>
      <c r="G168" s="2197"/>
      <c r="H168" s="2197"/>
      <c r="I168" s="2197"/>
      <c r="J168" s="2197"/>
      <c r="K168" s="2197"/>
      <c r="L168" s="2197"/>
      <c r="M168" s="2197"/>
      <c r="N168" s="2197"/>
      <c r="O168" s="2197"/>
      <c r="P168" s="2197"/>
      <c r="Q168" s="2198">
        <v>55</v>
      </c>
      <c r="R168" s="2198"/>
      <c r="S168" s="2198"/>
      <c r="T168" s="2199"/>
      <c r="U168" s="2199"/>
      <c r="V168" s="2199"/>
      <c r="W168" s="2199"/>
      <c r="X168" s="2199"/>
      <c r="Y168" s="2199"/>
      <c r="Z168" s="2199"/>
      <c r="AA168" s="2199"/>
      <c r="AB168" s="2200">
        <v>0</v>
      </c>
      <c r="AC168" s="2200"/>
      <c r="AD168" s="2200"/>
      <c r="AE168" s="2200"/>
      <c r="AF168" s="2200"/>
      <c r="AG168" s="220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212" t="s">
        <v>1843</v>
      </c>
      <c r="D170" s="2213"/>
      <c r="E170" s="2213"/>
      <c r="F170" s="2213"/>
      <c r="G170" s="2213"/>
      <c r="H170" s="2213"/>
      <c r="I170" s="2213"/>
      <c r="J170" s="2213"/>
      <c r="K170" s="2213"/>
      <c r="L170" s="2213"/>
      <c r="M170" s="2213"/>
      <c r="N170" s="2214"/>
      <c r="O170" s="1206"/>
      <c r="P170" s="2169" t="s">
        <v>1844</v>
      </c>
      <c r="Q170" s="2170"/>
      <c r="R170" s="2170"/>
      <c r="S170" s="2170"/>
      <c r="T170" s="2170"/>
      <c r="U170" s="2170"/>
      <c r="V170" s="2170"/>
      <c r="W170" s="2170"/>
      <c r="X170" s="2170"/>
      <c r="Y170" s="2170"/>
      <c r="Z170" s="2170"/>
      <c r="AA170" s="2170"/>
      <c r="AB170" s="2170"/>
      <c r="AC170" s="2170"/>
      <c r="AD170" s="2170"/>
      <c r="AE170" s="2170"/>
      <c r="AF170" s="2170"/>
      <c r="AG170" s="2170"/>
      <c r="AH170" s="2170"/>
      <c r="AI170" s="2170"/>
      <c r="AJ170" s="2170"/>
      <c r="AK170" s="2170"/>
      <c r="AL170" s="2170"/>
      <c r="AM170" s="2170"/>
      <c r="AN170" s="2170"/>
      <c r="AO170" s="221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159" t="s">
        <v>1845</v>
      </c>
      <c r="D171" s="2160"/>
      <c r="E171" s="2160"/>
      <c r="F171" s="2160"/>
      <c r="G171" s="2160"/>
      <c r="H171" s="2160"/>
      <c r="I171" s="2160" t="s">
        <v>1846</v>
      </c>
      <c r="J171" s="2160"/>
      <c r="K171" s="2160"/>
      <c r="L171" s="2160"/>
      <c r="M171" s="2160"/>
      <c r="N171" s="2186"/>
      <c r="O171" s="1206"/>
      <c r="P171" s="2141" t="s">
        <v>2182</v>
      </c>
      <c r="Q171" s="2139"/>
      <c r="R171" s="2139"/>
      <c r="S171" s="2139"/>
      <c r="T171" s="2139"/>
      <c r="U171" s="2139"/>
      <c r="V171" s="2139"/>
      <c r="W171" s="2139"/>
      <c r="X171" s="2139"/>
      <c r="Y171" s="2139"/>
      <c r="Z171" s="2139"/>
      <c r="AA171" s="2139"/>
      <c r="AB171" s="2139"/>
      <c r="AC171" s="2139"/>
      <c r="AD171" s="2139"/>
      <c r="AE171" s="2139"/>
      <c r="AF171" s="2139"/>
      <c r="AG171" s="2139"/>
      <c r="AH171" s="2139"/>
      <c r="AI171" s="2139"/>
      <c r="AJ171" s="2139"/>
      <c r="AK171" s="2139"/>
      <c r="AL171" s="2139"/>
      <c r="AM171" s="2139"/>
      <c r="AN171" s="2139"/>
      <c r="AO171" s="214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145" t="s">
        <v>2715</v>
      </c>
      <c r="D172" s="2114"/>
      <c r="E172" s="2114"/>
      <c r="F172" s="2114"/>
      <c r="G172" s="2114"/>
      <c r="H172" s="2114"/>
      <c r="I172" s="2190"/>
      <c r="J172" s="2190"/>
      <c r="K172" s="2190"/>
      <c r="L172" s="2190"/>
      <c r="M172" s="2190"/>
      <c r="N172" s="2216"/>
      <c r="O172" s="1206"/>
      <c r="P172" s="2141"/>
      <c r="Q172" s="2139"/>
      <c r="R172" s="2139"/>
      <c r="S172" s="2139"/>
      <c r="T172" s="2139"/>
      <c r="U172" s="2139"/>
      <c r="V172" s="2139"/>
      <c r="W172" s="2139"/>
      <c r="X172" s="2139"/>
      <c r="Y172" s="2139"/>
      <c r="Z172" s="2139"/>
      <c r="AA172" s="2139"/>
      <c r="AB172" s="2139"/>
      <c r="AC172" s="2139"/>
      <c r="AD172" s="2139"/>
      <c r="AE172" s="2139"/>
      <c r="AF172" s="2139"/>
      <c r="AG172" s="2139"/>
      <c r="AH172" s="2139"/>
      <c r="AI172" s="2139"/>
      <c r="AJ172" s="2139"/>
      <c r="AK172" s="2139"/>
      <c r="AL172" s="2139"/>
      <c r="AM172" s="2139"/>
      <c r="AN172" s="2139"/>
      <c r="AO172" s="214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145"/>
      <c r="D173" s="2114"/>
      <c r="E173" s="2114"/>
      <c r="F173" s="2114"/>
      <c r="G173" s="2114"/>
      <c r="H173" s="2114"/>
      <c r="I173" s="2190"/>
      <c r="J173" s="2190"/>
      <c r="K173" s="2190"/>
      <c r="L173" s="2190"/>
      <c r="M173" s="2190"/>
      <c r="N173" s="2216"/>
      <c r="O173" s="1206"/>
      <c r="P173" s="2141"/>
      <c r="Q173" s="2139"/>
      <c r="R173" s="2139"/>
      <c r="S173" s="2139"/>
      <c r="T173" s="2139"/>
      <c r="U173" s="2139"/>
      <c r="V173" s="2139"/>
      <c r="W173" s="2139"/>
      <c r="X173" s="2139"/>
      <c r="Y173" s="2139"/>
      <c r="Z173" s="2139"/>
      <c r="AA173" s="2139"/>
      <c r="AB173" s="2139"/>
      <c r="AC173" s="2139"/>
      <c r="AD173" s="2139"/>
      <c r="AE173" s="2139"/>
      <c r="AF173" s="2139"/>
      <c r="AG173" s="2139"/>
      <c r="AH173" s="2139"/>
      <c r="AI173" s="2139"/>
      <c r="AJ173" s="2139"/>
      <c r="AK173" s="2139"/>
      <c r="AL173" s="2139"/>
      <c r="AM173" s="2139"/>
      <c r="AN173" s="2139"/>
      <c r="AO173" s="214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145"/>
      <c r="D174" s="2114"/>
      <c r="E174" s="2114"/>
      <c r="F174" s="2114"/>
      <c r="G174" s="2114"/>
      <c r="H174" s="2114"/>
      <c r="I174" s="2190"/>
      <c r="J174" s="2190"/>
      <c r="K174" s="2190"/>
      <c r="L174" s="2190"/>
      <c r="M174" s="2190"/>
      <c r="N174" s="2216"/>
      <c r="O174" s="1206"/>
      <c r="P174" s="2141"/>
      <c r="Q174" s="2139"/>
      <c r="R174" s="2139"/>
      <c r="S174" s="2139"/>
      <c r="T174" s="2139"/>
      <c r="U174" s="2139"/>
      <c r="V174" s="2139"/>
      <c r="W174" s="2139"/>
      <c r="X174" s="2139"/>
      <c r="Y174" s="2139"/>
      <c r="Z174" s="2139"/>
      <c r="AA174" s="2139"/>
      <c r="AB174" s="2139"/>
      <c r="AC174" s="2139"/>
      <c r="AD174" s="2139"/>
      <c r="AE174" s="2139"/>
      <c r="AF174" s="2139"/>
      <c r="AG174" s="2139"/>
      <c r="AH174" s="2139"/>
      <c r="AI174" s="2139"/>
      <c r="AJ174" s="2139"/>
      <c r="AK174" s="2139"/>
      <c r="AL174" s="2139"/>
      <c r="AM174" s="2139"/>
      <c r="AN174" s="2139"/>
      <c r="AO174" s="214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145"/>
      <c r="D175" s="2114"/>
      <c r="E175" s="2114"/>
      <c r="F175" s="2114"/>
      <c r="G175" s="2114"/>
      <c r="H175" s="2114"/>
      <c r="I175" s="2190"/>
      <c r="J175" s="2190"/>
      <c r="K175" s="2190"/>
      <c r="L175" s="2190"/>
      <c r="M175" s="2190"/>
      <c r="N175" s="2216"/>
      <c r="O175" s="1206"/>
      <c r="P175" s="2141"/>
      <c r="Q175" s="2139"/>
      <c r="R175" s="2139"/>
      <c r="S175" s="2139"/>
      <c r="T175" s="2139"/>
      <c r="U175" s="2139"/>
      <c r="V175" s="2139"/>
      <c r="W175" s="2139"/>
      <c r="X175" s="2139"/>
      <c r="Y175" s="2139"/>
      <c r="Z175" s="2139"/>
      <c r="AA175" s="2139"/>
      <c r="AB175" s="2139"/>
      <c r="AC175" s="2139"/>
      <c r="AD175" s="2139"/>
      <c r="AE175" s="2139"/>
      <c r="AF175" s="2139"/>
      <c r="AG175" s="2139"/>
      <c r="AH175" s="2139"/>
      <c r="AI175" s="2139"/>
      <c r="AJ175" s="2139"/>
      <c r="AK175" s="2139"/>
      <c r="AL175" s="2139"/>
      <c r="AM175" s="2139"/>
      <c r="AN175" s="2139"/>
      <c r="AO175" s="214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145"/>
      <c r="D176" s="2114"/>
      <c r="E176" s="2114"/>
      <c r="F176" s="2114"/>
      <c r="G176" s="2114"/>
      <c r="H176" s="2114"/>
      <c r="I176" s="2190"/>
      <c r="J176" s="2190"/>
      <c r="K176" s="2190"/>
      <c r="L176" s="2190"/>
      <c r="M176" s="2190"/>
      <c r="N176" s="2216"/>
      <c r="O176" s="1206"/>
      <c r="P176" s="2141"/>
      <c r="Q176" s="2139"/>
      <c r="R176" s="2139"/>
      <c r="S176" s="2139"/>
      <c r="T176" s="2139"/>
      <c r="U176" s="2139"/>
      <c r="V176" s="2139"/>
      <c r="W176" s="2139"/>
      <c r="X176" s="2139"/>
      <c r="Y176" s="2139"/>
      <c r="Z176" s="2139"/>
      <c r="AA176" s="2139"/>
      <c r="AB176" s="2139"/>
      <c r="AC176" s="2139"/>
      <c r="AD176" s="2139"/>
      <c r="AE176" s="2139"/>
      <c r="AF176" s="2139"/>
      <c r="AG176" s="2139"/>
      <c r="AH176" s="2139"/>
      <c r="AI176" s="2139"/>
      <c r="AJ176" s="2139"/>
      <c r="AK176" s="2139"/>
      <c r="AL176" s="2139"/>
      <c r="AM176" s="2139"/>
      <c r="AN176" s="2139"/>
      <c r="AO176" s="214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145"/>
      <c r="D177" s="2114"/>
      <c r="E177" s="2114"/>
      <c r="F177" s="2114"/>
      <c r="G177" s="2114"/>
      <c r="H177" s="2114"/>
      <c r="I177" s="2190"/>
      <c r="J177" s="2190"/>
      <c r="K177" s="2190"/>
      <c r="L177" s="2190"/>
      <c r="M177" s="2190"/>
      <c r="N177" s="2216"/>
      <c r="O177" s="1206"/>
      <c r="P177" s="2141"/>
      <c r="Q177" s="2139"/>
      <c r="R177" s="2139"/>
      <c r="S177" s="2139"/>
      <c r="T177" s="2139"/>
      <c r="U177" s="2139"/>
      <c r="V177" s="2139"/>
      <c r="W177" s="2139"/>
      <c r="X177" s="2139"/>
      <c r="Y177" s="2139"/>
      <c r="Z177" s="2139"/>
      <c r="AA177" s="2139"/>
      <c r="AB177" s="2139"/>
      <c r="AC177" s="2139"/>
      <c r="AD177" s="2139"/>
      <c r="AE177" s="2139"/>
      <c r="AF177" s="2139"/>
      <c r="AG177" s="2139"/>
      <c r="AH177" s="2139"/>
      <c r="AI177" s="2139"/>
      <c r="AJ177" s="2139"/>
      <c r="AK177" s="2139"/>
      <c r="AL177" s="2139"/>
      <c r="AM177" s="2139"/>
      <c r="AN177" s="2139"/>
      <c r="AO177" s="214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202"/>
      <c r="D178" s="2203"/>
      <c r="E178" s="2203"/>
      <c r="F178" s="2203"/>
      <c r="G178" s="2203"/>
      <c r="H178" s="2203"/>
      <c r="I178" s="2204"/>
      <c r="J178" s="2204"/>
      <c r="K178" s="2204"/>
      <c r="L178" s="2204"/>
      <c r="M178" s="2204"/>
      <c r="N178" s="2205"/>
      <c r="O178" s="1206"/>
      <c r="P178" s="2142"/>
      <c r="Q178" s="2143"/>
      <c r="R178" s="2143"/>
      <c r="S178" s="2143"/>
      <c r="T178" s="2143"/>
      <c r="U178" s="2143"/>
      <c r="V178" s="2143"/>
      <c r="W178" s="2143"/>
      <c r="X178" s="2143"/>
      <c r="Y178" s="2143"/>
      <c r="Z178" s="2143"/>
      <c r="AA178" s="2143"/>
      <c r="AB178" s="2143"/>
      <c r="AC178" s="2143"/>
      <c r="AD178" s="2143"/>
      <c r="AE178" s="2143"/>
      <c r="AF178" s="2143"/>
      <c r="AG178" s="2143"/>
      <c r="AH178" s="2143"/>
      <c r="AI178" s="2143"/>
      <c r="AJ178" s="2143"/>
      <c r="AK178" s="2143"/>
      <c r="AL178" s="2143"/>
      <c r="AM178" s="2143"/>
      <c r="AN178" s="2143"/>
      <c r="AO178" s="214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206" t="s">
        <v>2483</v>
      </c>
      <c r="D180" s="2207"/>
      <c r="E180" s="2207"/>
      <c r="F180" s="2207"/>
      <c r="G180" s="2207"/>
      <c r="H180" s="2207"/>
      <c r="I180" s="2207"/>
      <c r="J180" s="2207"/>
      <c r="K180" s="2207"/>
      <c r="L180" s="2207"/>
      <c r="M180" s="2207"/>
      <c r="N180" s="2207"/>
      <c r="O180" s="2207"/>
      <c r="P180" s="2207"/>
      <c r="Q180" s="2207"/>
      <c r="R180" s="2207"/>
      <c r="S180" s="2207"/>
      <c r="T180" s="2207"/>
      <c r="U180" s="2207"/>
      <c r="V180" s="2207"/>
      <c r="W180" s="2207"/>
      <c r="X180" s="2207"/>
      <c r="Y180" s="2207"/>
      <c r="Z180" s="2207"/>
      <c r="AA180" s="2207"/>
      <c r="AB180" s="2207"/>
      <c r="AC180" s="2207"/>
      <c r="AD180" s="2207"/>
      <c r="AE180" s="2208"/>
      <c r="AF180" s="1206"/>
      <c r="AG180" s="1206"/>
      <c r="AH180" s="1959" t="s">
        <v>2597</v>
      </c>
      <c r="AI180" s="1960"/>
      <c r="AJ180" s="1960"/>
      <c r="AK180" s="1960"/>
      <c r="AL180" s="1960"/>
      <c r="AM180" s="1960"/>
      <c r="AN180" s="1960"/>
      <c r="AO180" s="1960"/>
      <c r="AP180" s="1960"/>
      <c r="AQ180" s="1960"/>
      <c r="AR180" s="1960"/>
      <c r="AS180" s="1960"/>
      <c r="AT180" s="1960"/>
      <c r="AU180" s="1960"/>
      <c r="AV180" s="1960"/>
      <c r="AW180" s="1960"/>
      <c r="AX180" s="1960"/>
      <c r="AY180" s="1960"/>
      <c r="AZ180" s="1960"/>
      <c r="BA180" s="1960"/>
      <c r="BB180" s="1960"/>
      <c r="BC180" s="1960"/>
      <c r="BD180" s="1960"/>
      <c r="BE180" s="1961"/>
    </row>
    <row r="181" spans="1:57" ht="15.75" customHeight="1" thickBot="1">
      <c r="A181" s="1206"/>
      <c r="B181" s="1206"/>
      <c r="C181" s="2209"/>
      <c r="D181" s="2210"/>
      <c r="E181" s="2210"/>
      <c r="F181" s="2210"/>
      <c r="G181" s="2210"/>
      <c r="H181" s="2210"/>
      <c r="I181" s="2210"/>
      <c r="J181" s="2210"/>
      <c r="K181" s="2210"/>
      <c r="L181" s="2210"/>
      <c r="M181" s="2210"/>
      <c r="N181" s="2210"/>
      <c r="O181" s="2210"/>
      <c r="P181" s="2210"/>
      <c r="Q181" s="2210"/>
      <c r="R181" s="2210"/>
      <c r="S181" s="2210"/>
      <c r="T181" s="2210"/>
      <c r="U181" s="2210"/>
      <c r="V181" s="2210"/>
      <c r="W181" s="2210"/>
      <c r="X181" s="2210"/>
      <c r="Y181" s="2210"/>
      <c r="Z181" s="2210"/>
      <c r="AA181" s="2210"/>
      <c r="AB181" s="2210"/>
      <c r="AC181" s="2210"/>
      <c r="AD181" s="2210"/>
      <c r="AE181" s="2211"/>
      <c r="AF181" s="1206"/>
      <c r="AG181" s="1206"/>
      <c r="AH181" s="1962" t="s">
        <v>2618</v>
      </c>
      <c r="AI181" s="1962"/>
      <c r="AJ181" s="1962"/>
      <c r="AK181" s="1962"/>
      <c r="AL181" s="1962"/>
      <c r="AM181" s="1962"/>
      <c r="AN181" s="1962"/>
      <c r="AO181" s="1962"/>
      <c r="AP181" s="1962"/>
      <c r="AQ181" s="1962"/>
      <c r="AR181" s="1962"/>
      <c r="AS181" s="1962"/>
      <c r="AT181" s="1962"/>
      <c r="AU181" s="1962"/>
      <c r="AV181" s="1962"/>
      <c r="AW181" s="1962"/>
      <c r="AX181" s="1962"/>
      <c r="AY181" s="1962"/>
      <c r="AZ181" s="1962"/>
      <c r="BA181" s="1962"/>
      <c r="BB181" s="1962"/>
      <c r="BC181" s="1962"/>
      <c r="BD181" s="1962"/>
      <c r="BE181" s="1962"/>
    </row>
    <row r="182" spans="1:57" ht="15.75" customHeight="1">
      <c r="A182" s="1206"/>
      <c r="B182" s="1206"/>
      <c r="C182" s="2212" t="s">
        <v>1836</v>
      </c>
      <c r="D182" s="2213"/>
      <c r="E182" s="2213"/>
      <c r="F182" s="2213"/>
      <c r="G182" s="2213"/>
      <c r="H182" s="2213"/>
      <c r="I182" s="2213"/>
      <c r="J182" s="2213"/>
      <c r="K182" s="2213"/>
      <c r="L182" s="2213"/>
      <c r="M182" s="2213"/>
      <c r="N182" s="2213" t="s">
        <v>1847</v>
      </c>
      <c r="O182" s="2213"/>
      <c r="P182" s="2213"/>
      <c r="Q182" s="2213"/>
      <c r="R182" s="2213"/>
      <c r="S182" s="2213"/>
      <c r="T182" s="2213"/>
      <c r="U182" s="2106" t="s">
        <v>1836</v>
      </c>
      <c r="V182" s="2106"/>
      <c r="W182" s="2106"/>
      <c r="X182" s="2106"/>
      <c r="Y182" s="2106"/>
      <c r="Z182" s="2106"/>
      <c r="AA182" s="2106"/>
      <c r="AB182" s="2106"/>
      <c r="AC182" s="2106"/>
      <c r="AD182" s="2106"/>
      <c r="AE182" s="2107"/>
      <c r="AF182" s="1206"/>
      <c r="AG182" s="1206"/>
      <c r="AH182" s="1963" t="s">
        <v>2602</v>
      </c>
      <c r="AI182" s="1963"/>
      <c r="AJ182" s="1963"/>
      <c r="AK182" s="1963"/>
      <c r="AL182" s="1963"/>
      <c r="AM182" s="1963"/>
      <c r="AN182" s="1963"/>
      <c r="AO182" s="1963"/>
      <c r="AP182" s="1963"/>
      <c r="AQ182" s="1963"/>
      <c r="AR182" s="1963"/>
      <c r="AS182" s="1963"/>
      <c r="AT182" s="1963"/>
      <c r="AU182" s="1929">
        <v>2500000</v>
      </c>
      <c r="AV182" s="1929"/>
      <c r="AW182" s="1929"/>
      <c r="AX182" s="1929"/>
      <c r="AY182" s="1929"/>
      <c r="AZ182" s="1929"/>
      <c r="BA182" s="1929"/>
      <c r="BB182" s="1929"/>
      <c r="BC182" s="1937"/>
      <c r="BD182" s="1938"/>
      <c r="BE182" s="1939"/>
    </row>
    <row r="183" spans="1:57" ht="15.75" customHeight="1">
      <c r="A183" s="1206"/>
      <c r="B183" s="1206"/>
      <c r="C183" s="1953" t="s">
        <v>2484</v>
      </c>
      <c r="D183" s="1954"/>
      <c r="E183" s="1954"/>
      <c r="F183" s="1954"/>
      <c r="G183" s="1954"/>
      <c r="H183" s="1954"/>
      <c r="I183" s="1954"/>
      <c r="J183" s="1954"/>
      <c r="K183" s="1954"/>
      <c r="L183" s="1954"/>
      <c r="M183" s="1954"/>
      <c r="N183" s="2218">
        <f>'Sources and Uses Budget'!B105</f>
        <v>87154721.000000015</v>
      </c>
      <c r="O183" s="2218"/>
      <c r="P183" s="2218"/>
      <c r="Q183" s="2218"/>
      <c r="R183" s="2218"/>
      <c r="S183" s="2218"/>
      <c r="T183" s="2218"/>
      <c r="U183" s="2219"/>
      <c r="V183" s="2219"/>
      <c r="W183" s="2219"/>
      <c r="X183" s="2219"/>
      <c r="Y183" s="2219"/>
      <c r="Z183" s="2219"/>
      <c r="AA183" s="2219"/>
      <c r="AB183" s="2219"/>
      <c r="AC183" s="2219"/>
      <c r="AD183" s="2219"/>
      <c r="AE183" s="2220"/>
      <c r="AF183" s="1206"/>
      <c r="AG183" s="1206"/>
      <c r="AH183" s="1963" t="s">
        <v>2601</v>
      </c>
      <c r="AI183" s="1963"/>
      <c r="AJ183" s="1963"/>
      <c r="AK183" s="1963"/>
      <c r="AL183" s="1963"/>
      <c r="AM183" s="1963"/>
      <c r="AN183" s="1963"/>
      <c r="AO183" s="1963"/>
      <c r="AP183" s="1963"/>
      <c r="AQ183" s="1963"/>
      <c r="AR183" s="1963"/>
      <c r="AS183" s="1963"/>
      <c r="AT183" s="1963"/>
      <c r="AU183" s="1930">
        <f>MAX(0,Application!AG439-100)*20000</f>
        <v>0</v>
      </c>
      <c r="AV183" s="1930"/>
      <c r="AW183" s="1930"/>
      <c r="AX183" s="1930"/>
      <c r="AY183" s="1930"/>
      <c r="AZ183" s="1930"/>
      <c r="BA183" s="1930"/>
      <c r="BB183" s="1930"/>
      <c r="BC183" s="1934"/>
      <c r="BD183" s="1935"/>
      <c r="BE183" s="1936"/>
    </row>
    <row r="184" spans="1:57" ht="15.75" customHeight="1">
      <c r="A184" s="1206"/>
      <c r="B184" s="1206"/>
      <c r="C184" s="1953" t="s">
        <v>2485</v>
      </c>
      <c r="D184" s="1954"/>
      <c r="E184" s="1954"/>
      <c r="F184" s="1954"/>
      <c r="G184" s="1954"/>
      <c r="H184" s="1954"/>
      <c r="I184" s="1954"/>
      <c r="J184" s="1954"/>
      <c r="K184" s="1954"/>
      <c r="L184" s="1954"/>
      <c r="M184" s="1954"/>
      <c r="N184" s="2218">
        <f>N183/J29</f>
        <v>880350.71717171732</v>
      </c>
      <c r="O184" s="2218"/>
      <c r="P184" s="2218"/>
      <c r="Q184" s="2218"/>
      <c r="R184" s="2218"/>
      <c r="S184" s="2218"/>
      <c r="T184" s="2218"/>
      <c r="U184" s="1222"/>
      <c r="V184" s="1222"/>
      <c r="W184" s="1222"/>
      <c r="X184" s="1222"/>
      <c r="Y184" s="1222"/>
      <c r="Z184" s="1222"/>
      <c r="AA184" s="1222"/>
      <c r="AB184" s="1222"/>
      <c r="AC184" s="1222"/>
      <c r="AD184" s="1222"/>
      <c r="AE184" s="1221"/>
      <c r="AF184" s="1206"/>
      <c r="AG184" s="1206"/>
      <c r="AH184" s="1940" t="s">
        <v>2600</v>
      </c>
      <c r="AI184" s="1940"/>
      <c r="AJ184" s="1940"/>
      <c r="AK184" s="1940"/>
      <c r="AL184" s="1940"/>
      <c r="AM184" s="1940"/>
      <c r="AN184" s="1940"/>
      <c r="AO184" s="1940"/>
      <c r="AP184" s="1940"/>
      <c r="AQ184" s="1940"/>
      <c r="AR184" s="1940"/>
      <c r="AS184" s="1940"/>
      <c r="AT184" s="1940"/>
      <c r="AU184" s="1931">
        <f>AU182+AU183</f>
        <v>2500000</v>
      </c>
      <c r="AV184" s="1931"/>
      <c r="AW184" s="1931"/>
      <c r="AX184" s="1931"/>
      <c r="AY184" s="1931"/>
      <c r="AZ184" s="1931"/>
      <c r="BA184" s="1931"/>
      <c r="BB184" s="1931"/>
      <c r="BC184" s="1934"/>
      <c r="BD184" s="1935"/>
      <c r="BE184" s="1936"/>
    </row>
    <row r="185" spans="1:57" ht="15.75" customHeight="1">
      <c r="A185" s="1206"/>
      <c r="B185" s="1206"/>
      <c r="C185" s="2221" t="s">
        <v>2486</v>
      </c>
      <c r="D185" s="2222"/>
      <c r="E185" s="2222"/>
      <c r="F185" s="2222"/>
      <c r="G185" s="2222"/>
      <c r="H185" s="2222"/>
      <c r="I185" s="2222"/>
      <c r="J185" s="2222"/>
      <c r="K185" s="2222"/>
      <c r="L185" s="2222"/>
      <c r="M185" s="2222"/>
      <c r="N185" s="2146">
        <v>0</v>
      </c>
      <c r="O185" s="2146"/>
      <c r="P185" s="2146"/>
      <c r="Q185" s="2146"/>
      <c r="R185" s="2146"/>
      <c r="S185" s="2146"/>
      <c r="T185" s="2146"/>
      <c r="U185" s="2123"/>
      <c r="V185" s="2123"/>
      <c r="W185" s="2123"/>
      <c r="X185" s="2123"/>
      <c r="Y185" s="2123"/>
      <c r="Z185" s="2123"/>
      <c r="AA185" s="2123"/>
      <c r="AB185" s="2123"/>
      <c r="AC185" s="2123"/>
      <c r="AD185" s="2123"/>
      <c r="AE185" s="2124"/>
      <c r="AF185" s="1206"/>
      <c r="AG185" s="1206"/>
      <c r="AH185" s="1933" t="s">
        <v>2599</v>
      </c>
      <c r="AI185" s="1933"/>
      <c r="AJ185" s="1933"/>
      <c r="AK185" s="1933"/>
      <c r="AL185" s="1933"/>
      <c r="AM185" s="1933"/>
      <c r="AN185" s="1933"/>
      <c r="AO185" s="1933"/>
      <c r="AP185" s="1933"/>
      <c r="AQ185" s="1933"/>
      <c r="AR185" s="1933"/>
      <c r="AS185" s="1933"/>
      <c r="AT185" s="1933"/>
      <c r="AU185" s="1932" t="str">
        <f>IF(AU189-AU192&lt;=AU184,"Y","N")</f>
        <v>Y</v>
      </c>
      <c r="AV185" s="1932"/>
      <c r="AW185" s="1932"/>
      <c r="AX185" s="1932"/>
      <c r="AY185" s="1932"/>
      <c r="AZ185" s="1932"/>
      <c r="BA185" s="1932"/>
      <c r="BB185" s="1932"/>
      <c r="BC185" s="1934"/>
      <c r="BD185" s="1935"/>
      <c r="BE185" s="1936"/>
    </row>
    <row r="186" spans="1:57" ht="15.75" customHeight="1" thickBot="1">
      <c r="A186" s="1206"/>
      <c r="B186" s="1206"/>
      <c r="C186" s="1953" t="s">
        <v>2487</v>
      </c>
      <c r="D186" s="1954"/>
      <c r="E186" s="1954"/>
      <c r="F186" s="1954"/>
      <c r="G186" s="1954"/>
      <c r="H186" s="1954"/>
      <c r="I186" s="1954"/>
      <c r="J186" s="1954"/>
      <c r="K186" s="1954"/>
      <c r="L186" s="1954"/>
      <c r="M186" s="1954"/>
      <c r="N186" s="2217">
        <f>SUM('Sources and Uses Budget'!B85:B86)</f>
        <v>3500000</v>
      </c>
      <c r="O186" s="2217"/>
      <c r="P186" s="2217"/>
      <c r="Q186" s="2217"/>
      <c r="R186" s="2217"/>
      <c r="S186" s="2217"/>
      <c r="T186" s="2217"/>
      <c r="U186" s="2123"/>
      <c r="V186" s="2123"/>
      <c r="W186" s="2123"/>
      <c r="X186" s="2123"/>
      <c r="Y186" s="2123"/>
      <c r="Z186" s="2123"/>
      <c r="AA186" s="2123"/>
      <c r="AB186" s="2123"/>
      <c r="AC186" s="2123"/>
      <c r="AD186" s="2123"/>
      <c r="AE186" s="2124"/>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1953" t="s">
        <v>2488</v>
      </c>
      <c r="D187" s="1954"/>
      <c r="E187" s="1954"/>
      <c r="F187" s="1954"/>
      <c r="G187" s="1954"/>
      <c r="H187" s="1954"/>
      <c r="I187" s="1954"/>
      <c r="J187" s="1954"/>
      <c r="K187" s="1954"/>
      <c r="L187" s="1954"/>
      <c r="M187" s="1954"/>
      <c r="N187" s="2217">
        <f>'Sources and Uses Budget'!B8</f>
        <v>8500000</v>
      </c>
      <c r="O187" s="2217"/>
      <c r="P187" s="2217"/>
      <c r="Q187" s="2217"/>
      <c r="R187" s="2217"/>
      <c r="S187" s="2217"/>
      <c r="T187" s="2217"/>
      <c r="U187" s="2123"/>
      <c r="V187" s="2123"/>
      <c r="W187" s="2123"/>
      <c r="X187" s="2123"/>
      <c r="Y187" s="2123"/>
      <c r="Z187" s="2123"/>
      <c r="AA187" s="2123"/>
      <c r="AB187" s="2123"/>
      <c r="AC187" s="2123"/>
      <c r="AD187" s="2123"/>
      <c r="AE187" s="2124"/>
      <c r="AF187" s="1206"/>
      <c r="AG187" s="1206"/>
      <c r="AH187" s="2224" t="s">
        <v>1848</v>
      </c>
      <c r="AI187" s="2225"/>
      <c r="AJ187" s="2225"/>
      <c r="AK187" s="2225"/>
      <c r="AL187" s="2225"/>
      <c r="AM187" s="2225"/>
      <c r="AN187" s="2225"/>
      <c r="AO187" s="2225"/>
      <c r="AP187" s="2225"/>
      <c r="AQ187" s="2225"/>
      <c r="AR187" s="2225"/>
      <c r="AS187" s="2225"/>
      <c r="AT187" s="2225"/>
      <c r="AU187" s="2225"/>
      <c r="AV187" s="2225"/>
      <c r="AW187" s="2225"/>
      <c r="AX187" s="2225"/>
      <c r="AY187" s="2225"/>
      <c r="AZ187" s="2225"/>
      <c r="BA187" s="2225"/>
      <c r="BB187" s="2225"/>
      <c r="BC187" s="2225"/>
      <c r="BD187" s="2225"/>
      <c r="BE187" s="2226"/>
    </row>
    <row r="188" spans="1:57" ht="15.75" customHeight="1">
      <c r="A188" s="1206"/>
      <c r="B188" s="1206"/>
      <c r="C188" s="1953" t="s">
        <v>2489</v>
      </c>
      <c r="D188" s="1954"/>
      <c r="E188" s="1954"/>
      <c r="F188" s="1954"/>
      <c r="G188" s="1954"/>
      <c r="H188" s="1954"/>
      <c r="I188" s="1954"/>
      <c r="J188" s="1954"/>
      <c r="K188" s="1954"/>
      <c r="L188" s="1954"/>
      <c r="M188" s="1954"/>
      <c r="N188" s="2232">
        <v>0</v>
      </c>
      <c r="O188" s="2232"/>
      <c r="P188" s="2232"/>
      <c r="Q188" s="2232"/>
      <c r="R188" s="2232"/>
      <c r="S188" s="2232"/>
      <c r="T188" s="2232"/>
      <c r="U188" s="2123"/>
      <c r="V188" s="2123"/>
      <c r="W188" s="2123"/>
      <c r="X188" s="2123"/>
      <c r="Y188" s="2123"/>
      <c r="Z188" s="2123"/>
      <c r="AA188" s="2123"/>
      <c r="AB188" s="2123"/>
      <c r="AC188" s="2123"/>
      <c r="AD188" s="2123"/>
      <c r="AE188" s="2124"/>
      <c r="AF188" s="1206"/>
      <c r="AG188" s="1206"/>
      <c r="AH188" s="2227" t="s">
        <v>1848</v>
      </c>
      <c r="AI188" s="2227"/>
      <c r="AJ188" s="2227"/>
      <c r="AK188" s="2227"/>
      <c r="AL188" s="2227"/>
      <c r="AM188" s="2227"/>
      <c r="AN188" s="2227"/>
      <c r="AO188" s="2227"/>
      <c r="AP188" s="2227"/>
      <c r="AQ188" s="2227"/>
      <c r="AR188" s="2227"/>
      <c r="AS188" s="2227"/>
      <c r="AT188" s="2227"/>
      <c r="AU188" s="2228">
        <v>0</v>
      </c>
      <c r="AV188" s="2228"/>
      <c r="AW188" s="2228"/>
      <c r="AX188" s="2228"/>
      <c r="AY188" s="2228"/>
      <c r="AZ188" s="2228"/>
      <c r="BA188" s="2228"/>
      <c r="BB188" s="2228"/>
      <c r="BC188" s="2229"/>
      <c r="BD188" s="2230"/>
      <c r="BE188" s="2231"/>
    </row>
    <row r="189" spans="1:57" ht="15.75" customHeight="1">
      <c r="A189" s="1206"/>
      <c r="B189" s="1206"/>
      <c r="C189" s="1953" t="s">
        <v>2490</v>
      </c>
      <c r="D189" s="1954"/>
      <c r="E189" s="1954"/>
      <c r="F189" s="1954"/>
      <c r="G189" s="1954"/>
      <c r="H189" s="1954"/>
      <c r="I189" s="1954"/>
      <c r="J189" s="1954"/>
      <c r="K189" s="1954"/>
      <c r="L189" s="1954"/>
      <c r="M189" s="1954"/>
      <c r="N189" s="2232">
        <v>0</v>
      </c>
      <c r="O189" s="2232"/>
      <c r="P189" s="2232"/>
      <c r="Q189" s="2232"/>
      <c r="R189" s="2232"/>
      <c r="S189" s="2232"/>
      <c r="T189" s="2232"/>
      <c r="U189" s="2123"/>
      <c r="V189" s="2123"/>
      <c r="W189" s="2123"/>
      <c r="X189" s="2123"/>
      <c r="Y189" s="2123"/>
      <c r="Z189" s="2123"/>
      <c r="AA189" s="2123"/>
      <c r="AB189" s="2123"/>
      <c r="AC189" s="2123"/>
      <c r="AD189" s="2123"/>
      <c r="AE189" s="2124"/>
      <c r="AF189" s="1206"/>
      <c r="AG189" s="1206"/>
      <c r="AH189" s="1963" t="s">
        <v>2598</v>
      </c>
      <c r="AI189" s="1963"/>
      <c r="AJ189" s="1963"/>
      <c r="AK189" s="1963"/>
      <c r="AL189" s="1963"/>
      <c r="AM189" s="1963"/>
      <c r="AN189" s="1963"/>
      <c r="AO189" s="1963"/>
      <c r="AP189" s="1963"/>
      <c r="AQ189" s="1963"/>
      <c r="AR189" s="1963"/>
      <c r="AS189" s="1963"/>
      <c r="AT189" s="1963"/>
      <c r="AU189" s="2223"/>
      <c r="AV189" s="2223"/>
      <c r="AW189" s="2223"/>
      <c r="AX189" s="2223"/>
      <c r="AY189" s="2223"/>
      <c r="AZ189" s="2223"/>
      <c r="BA189" s="2223"/>
      <c r="BB189" s="2223"/>
      <c r="BC189" s="1934"/>
      <c r="BD189" s="1935"/>
      <c r="BE189" s="1936"/>
    </row>
    <row r="190" spans="1:57" ht="15.75" customHeight="1">
      <c r="A190" s="1206"/>
      <c r="B190" s="1206"/>
      <c r="C190" s="2258" t="s">
        <v>301</v>
      </c>
      <c r="D190" s="2189"/>
      <c r="E190" s="2257" t="s">
        <v>1842</v>
      </c>
      <c r="F190" s="2257"/>
      <c r="G190" s="2257"/>
      <c r="H190" s="2257"/>
      <c r="I190" s="2257"/>
      <c r="J190" s="2257"/>
      <c r="K190" s="2257"/>
      <c r="L190" s="2257"/>
      <c r="M190" s="2257"/>
      <c r="N190" s="2232">
        <v>0</v>
      </c>
      <c r="O190" s="2232"/>
      <c r="P190" s="2232"/>
      <c r="Q190" s="2232"/>
      <c r="R190" s="2232"/>
      <c r="S190" s="2232"/>
      <c r="T190" s="2232"/>
      <c r="U190" s="2123"/>
      <c r="V190" s="2123"/>
      <c r="W190" s="2123"/>
      <c r="X190" s="2123"/>
      <c r="Y190" s="2123"/>
      <c r="Z190" s="2123"/>
      <c r="AA190" s="2123"/>
      <c r="AB190" s="2123"/>
      <c r="AC190" s="2123"/>
      <c r="AD190" s="2123"/>
      <c r="AE190" s="2124"/>
      <c r="AF190" s="1206"/>
      <c r="AG190" s="1206"/>
      <c r="AH190" s="1940" t="s">
        <v>2597</v>
      </c>
      <c r="AI190" s="1940"/>
      <c r="AJ190" s="1940"/>
      <c r="AK190" s="1940"/>
      <c r="AL190" s="1940"/>
      <c r="AM190" s="1940"/>
      <c r="AN190" s="1940"/>
      <c r="AO190" s="1940"/>
      <c r="AP190" s="1940"/>
      <c r="AQ190" s="1940"/>
      <c r="AR190" s="1940"/>
      <c r="AS190" s="1940"/>
      <c r="AT190" s="1940"/>
      <c r="AU190" s="1931">
        <f>SUM(AU188:BB189)</f>
        <v>0</v>
      </c>
      <c r="AV190" s="1931"/>
      <c r="AW190" s="1931"/>
      <c r="AX190" s="1931"/>
      <c r="AY190" s="1931"/>
      <c r="AZ190" s="1931"/>
      <c r="BA190" s="1931"/>
      <c r="BB190" s="1931"/>
      <c r="BC190" s="1934"/>
      <c r="BD190" s="1935"/>
      <c r="BE190" s="1936"/>
    </row>
    <row r="191" spans="1:57" ht="15.75" customHeight="1" thickBot="1">
      <c r="A191" s="1206"/>
      <c r="B191" s="1206"/>
      <c r="C191" s="2145" t="s">
        <v>301</v>
      </c>
      <c r="D191" s="2114"/>
      <c r="E191" s="2257" t="s">
        <v>1842</v>
      </c>
      <c r="F191" s="2257"/>
      <c r="G191" s="2257"/>
      <c r="H191" s="2257"/>
      <c r="I191" s="2257"/>
      <c r="J191" s="2257"/>
      <c r="K191" s="2257"/>
      <c r="L191" s="2257"/>
      <c r="M191" s="2257"/>
      <c r="N191" s="2232">
        <v>0</v>
      </c>
      <c r="O191" s="2232"/>
      <c r="P191" s="2232"/>
      <c r="Q191" s="2232"/>
      <c r="R191" s="2232"/>
      <c r="S191" s="2232"/>
      <c r="T191" s="2232"/>
      <c r="U191" s="2123"/>
      <c r="V191" s="2123"/>
      <c r="W191" s="2123"/>
      <c r="X191" s="2123"/>
      <c r="Y191" s="2123"/>
      <c r="Z191" s="2123"/>
      <c r="AA191" s="2123"/>
      <c r="AB191" s="2123"/>
      <c r="AC191" s="2123"/>
      <c r="AD191" s="2123"/>
      <c r="AE191" s="2124"/>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239"/>
      <c r="BD191" s="2240"/>
      <c r="BE191" s="2241"/>
    </row>
    <row r="192" spans="1:57" ht="15.75" customHeight="1" thickBot="1">
      <c r="A192" s="1206"/>
      <c r="B192" s="1206"/>
      <c r="C192" s="2246" t="s">
        <v>301</v>
      </c>
      <c r="D192" s="2247"/>
      <c r="E192" s="2248" t="s">
        <v>1842</v>
      </c>
      <c r="F192" s="2248"/>
      <c r="G192" s="2248"/>
      <c r="H192" s="2248"/>
      <c r="I192" s="2248"/>
      <c r="J192" s="2248"/>
      <c r="K192" s="2248"/>
      <c r="L192" s="2248"/>
      <c r="M192" s="2249"/>
      <c r="N192" s="2250">
        <v>0</v>
      </c>
      <c r="O192" s="2250"/>
      <c r="P192" s="2250"/>
      <c r="Q192" s="2250"/>
      <c r="R192" s="2250"/>
      <c r="S192" s="2250"/>
      <c r="T192" s="2251"/>
      <c r="U192" s="2252"/>
      <c r="V192" s="2253"/>
      <c r="W192" s="2253"/>
      <c r="X192" s="2253"/>
      <c r="Y192" s="2253"/>
      <c r="Z192" s="2253"/>
      <c r="AA192" s="2253"/>
      <c r="AB192" s="2253"/>
      <c r="AC192" s="2253"/>
      <c r="AD192" s="2253"/>
      <c r="AE192" s="2254"/>
      <c r="AF192" s="1206"/>
      <c r="AG192" s="1206"/>
      <c r="AH192" s="2283" t="s">
        <v>1849</v>
      </c>
      <c r="AI192" s="2284"/>
      <c r="AJ192" s="2284"/>
      <c r="AK192" s="2284"/>
      <c r="AL192" s="2284"/>
      <c r="AM192" s="2284"/>
      <c r="AN192" s="2284"/>
      <c r="AO192" s="2284"/>
      <c r="AP192" s="2284"/>
      <c r="AQ192" s="2284"/>
      <c r="AR192" s="2284"/>
      <c r="AS192" s="2284"/>
      <c r="AT192" s="2284"/>
      <c r="AU192" s="2233"/>
      <c r="AV192" s="2233"/>
      <c r="AW192" s="2233"/>
      <c r="AX192" s="2233"/>
      <c r="AY192" s="2233"/>
      <c r="AZ192" s="2233"/>
      <c r="BA192" s="2233"/>
      <c r="BB192" s="2233"/>
      <c r="BC192" s="1219"/>
      <c r="BD192" s="1219"/>
      <c r="BE192" s="1218"/>
    </row>
    <row r="193" spans="1:57" ht="15.75" customHeight="1">
      <c r="A193" s="1206"/>
      <c r="B193" s="1206"/>
      <c r="C193" s="2242" t="s">
        <v>1850</v>
      </c>
      <c r="D193" s="2243"/>
      <c r="E193" s="2243"/>
      <c r="F193" s="2243"/>
      <c r="G193" s="2243"/>
      <c r="H193" s="2243"/>
      <c r="I193" s="2243"/>
      <c r="J193" s="2243"/>
      <c r="K193" s="2243"/>
      <c r="L193" s="2243"/>
      <c r="M193" s="2243"/>
      <c r="N193" s="2244">
        <f>SUM(N185:T192)</f>
        <v>12000000</v>
      </c>
      <c r="O193" s="2244"/>
      <c r="P193" s="2244"/>
      <c r="Q193" s="2244"/>
      <c r="R193" s="2244"/>
      <c r="S193" s="2244"/>
      <c r="T193" s="2245"/>
      <c r="U193" s="1206"/>
      <c r="V193" s="1206"/>
      <c r="W193" s="1206"/>
      <c r="X193" s="1206"/>
      <c r="Y193" s="1206"/>
      <c r="Z193" s="1206"/>
      <c r="AA193" s="1206"/>
      <c r="AB193" s="1206"/>
      <c r="AC193" s="1206"/>
      <c r="AD193" s="1206"/>
      <c r="AE193" s="1206"/>
      <c r="AF193" s="1206"/>
      <c r="AG193" s="1206"/>
      <c r="AH193" s="2255" t="s">
        <v>2596</v>
      </c>
      <c r="AI193" s="2255"/>
      <c r="AJ193" s="2255"/>
      <c r="AK193" s="2255"/>
      <c r="AL193" s="2255"/>
      <c r="AM193" s="2255"/>
      <c r="AN193" s="2255"/>
      <c r="AO193" s="2255"/>
      <c r="AP193" s="2255"/>
      <c r="AQ193" s="2255"/>
      <c r="AR193" s="2255"/>
      <c r="AS193" s="2255"/>
      <c r="AT193" s="2255"/>
      <c r="AU193" s="2255"/>
      <c r="AV193" s="2255"/>
      <c r="AW193" s="2255"/>
      <c r="AX193" s="2255"/>
      <c r="AY193" s="2255"/>
      <c r="AZ193" s="2255"/>
      <c r="BA193" s="2255"/>
      <c r="BB193" s="2255"/>
      <c r="BC193" s="2255"/>
      <c r="BD193" s="2255"/>
      <c r="BE193" s="2256"/>
    </row>
    <row r="194" spans="1:57" ht="15.75" customHeight="1" thickBot="1">
      <c r="A194" s="1206"/>
      <c r="B194" s="1206"/>
      <c r="C194" s="2285" t="s">
        <v>2491</v>
      </c>
      <c r="D194" s="2286"/>
      <c r="E194" s="2286"/>
      <c r="F194" s="2286"/>
      <c r="G194" s="2286"/>
      <c r="H194" s="2286"/>
      <c r="I194" s="2286"/>
      <c r="J194" s="2286"/>
      <c r="K194" s="2286"/>
      <c r="L194" s="2286"/>
      <c r="M194" s="2286"/>
      <c r="N194" s="2287">
        <f>(N183-N193)/J29</f>
        <v>759138.5959595961</v>
      </c>
      <c r="O194" s="2288"/>
      <c r="P194" s="2288"/>
      <c r="Q194" s="2288"/>
      <c r="R194" s="2288"/>
      <c r="S194" s="2288"/>
      <c r="T194" s="2289"/>
      <c r="U194" s="1217"/>
      <c r="V194" s="1206"/>
      <c r="W194" s="1206"/>
      <c r="X194" s="1206"/>
      <c r="Y194" s="1206"/>
      <c r="Z194" s="1206"/>
      <c r="AA194" s="1206"/>
      <c r="AB194" s="1206"/>
      <c r="AC194" s="1206"/>
      <c r="AD194" s="1206"/>
      <c r="AE194" s="1206"/>
      <c r="AF194" s="1206"/>
      <c r="AG194" s="1206"/>
      <c r="AH194" s="2255"/>
      <c r="AI194" s="2255"/>
      <c r="AJ194" s="2255"/>
      <c r="AK194" s="2255"/>
      <c r="AL194" s="2255"/>
      <c r="AM194" s="2255"/>
      <c r="AN194" s="2255"/>
      <c r="AO194" s="2255"/>
      <c r="AP194" s="2255"/>
      <c r="AQ194" s="2255"/>
      <c r="AR194" s="2255"/>
      <c r="AS194" s="2255"/>
      <c r="AT194" s="2255"/>
      <c r="AU194" s="2255"/>
      <c r="AV194" s="2255"/>
      <c r="AW194" s="2255"/>
      <c r="AX194" s="2255"/>
      <c r="AY194" s="2255"/>
      <c r="AZ194" s="2255"/>
      <c r="BA194" s="2255"/>
      <c r="BB194" s="2255"/>
      <c r="BC194" s="2255"/>
      <c r="BD194" s="2255"/>
      <c r="BE194" s="225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290"/>
      <c r="AI195" s="2290"/>
      <c r="AJ195" s="2290"/>
      <c r="AK195" s="2290"/>
      <c r="AL195" s="2290"/>
      <c r="AM195" s="2290"/>
      <c r="AN195" s="2290"/>
      <c r="AO195" s="2290"/>
      <c r="AP195" s="2290"/>
      <c r="AQ195" s="2290"/>
      <c r="AR195" s="2290"/>
      <c r="AS195" s="2234"/>
      <c r="AT195" s="2234"/>
      <c r="AU195" s="2234"/>
      <c r="AV195" s="2234"/>
      <c r="AW195" s="2234"/>
      <c r="AX195" s="2234"/>
      <c r="AY195" s="2234"/>
      <c r="AZ195" s="2234"/>
      <c r="BA195" s="2234"/>
      <c r="BB195" s="2234"/>
      <c r="BC195" s="2234"/>
      <c r="BD195" s="223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235" t="s">
        <v>2595</v>
      </c>
      <c r="D197" s="2236"/>
      <c r="E197" s="2236"/>
      <c r="F197" s="2236"/>
      <c r="G197" s="2236"/>
      <c r="H197" s="2236"/>
      <c r="I197" s="2236"/>
      <c r="J197" s="2236"/>
      <c r="K197" s="2236"/>
      <c r="L197" s="2236"/>
      <c r="M197" s="2236"/>
      <c r="N197" s="2236"/>
      <c r="O197" s="2236"/>
      <c r="P197" s="2236"/>
      <c r="Q197" s="2236"/>
      <c r="R197" s="2236"/>
      <c r="S197" s="2236"/>
      <c r="T197" s="2236"/>
      <c r="U197" s="2236"/>
      <c r="V197" s="2236"/>
      <c r="W197" s="2236"/>
      <c r="X197" s="2236"/>
      <c r="Y197" s="2236"/>
      <c r="Z197" s="2236"/>
      <c r="AA197" s="2236"/>
      <c r="AB197" s="2236"/>
      <c r="AC197" s="2236"/>
      <c r="AD197" s="2236"/>
      <c r="AE197" s="223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1943" t="s">
        <v>2594</v>
      </c>
      <c r="D198" s="1943"/>
      <c r="E198" s="1943"/>
      <c r="F198" s="1943"/>
      <c r="G198" s="1943"/>
      <c r="H198" s="1943"/>
      <c r="I198" s="1943"/>
      <c r="J198" s="1943"/>
      <c r="K198" s="1943"/>
      <c r="L198" s="1943"/>
      <c r="M198" s="1943"/>
      <c r="N198" s="1943"/>
      <c r="O198" s="1944" t="s">
        <v>2593</v>
      </c>
      <c r="P198" s="1944"/>
      <c r="Q198" s="1944"/>
      <c r="R198" s="1944"/>
      <c r="S198" s="1944"/>
      <c r="T198" s="1944"/>
      <c r="U198" s="1944"/>
      <c r="V198" s="1944"/>
      <c r="W198" s="1944"/>
      <c r="X198" s="1944" t="s">
        <v>2592</v>
      </c>
      <c r="Y198" s="1944"/>
      <c r="Z198" s="1944"/>
      <c r="AA198" s="1944"/>
      <c r="AB198" s="1944"/>
      <c r="AC198" s="1944"/>
      <c r="AD198" s="1944"/>
      <c r="AE198" s="1944"/>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1941" t="s">
        <v>2591</v>
      </c>
      <c r="D199" s="1941"/>
      <c r="E199" s="1941"/>
      <c r="F199" s="1941"/>
      <c r="G199" s="1941"/>
      <c r="H199" s="1941"/>
      <c r="I199" s="1941"/>
      <c r="J199" s="1941"/>
      <c r="K199" s="1941"/>
      <c r="L199" s="1941"/>
      <c r="M199" s="1941"/>
      <c r="N199" s="1941"/>
      <c r="O199" s="2238"/>
      <c r="P199" s="2238"/>
      <c r="Q199" s="2238"/>
      <c r="R199" s="2238"/>
      <c r="S199" s="2238"/>
      <c r="T199" s="2238"/>
      <c r="U199" s="2238"/>
      <c r="V199" s="2238"/>
      <c r="W199" s="2238"/>
      <c r="X199" s="2259"/>
      <c r="Y199" s="2259"/>
      <c r="Z199" s="2259"/>
      <c r="AA199" s="2259"/>
      <c r="AB199" s="2259"/>
      <c r="AC199" s="2259"/>
      <c r="AD199" s="2259"/>
      <c r="AE199" s="225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1941" t="s">
        <v>864</v>
      </c>
      <c r="D200" s="1941"/>
      <c r="E200" s="1941"/>
      <c r="F200" s="1941"/>
      <c r="G200" s="1941"/>
      <c r="H200" s="1941"/>
      <c r="I200" s="1941"/>
      <c r="J200" s="1941"/>
      <c r="K200" s="1941"/>
      <c r="L200" s="1941"/>
      <c r="M200" s="1941"/>
      <c r="N200" s="1941"/>
      <c r="O200" s="2238"/>
      <c r="P200" s="2238"/>
      <c r="Q200" s="2238"/>
      <c r="R200" s="2238"/>
      <c r="S200" s="2238"/>
      <c r="T200" s="2238"/>
      <c r="U200" s="2238"/>
      <c r="V200" s="2238"/>
      <c r="W200" s="2238"/>
      <c r="X200" s="2259"/>
      <c r="Y200" s="2259"/>
      <c r="Z200" s="2259"/>
      <c r="AA200" s="2259"/>
      <c r="AB200" s="2259"/>
      <c r="AC200" s="2259"/>
      <c r="AD200" s="2259"/>
      <c r="AE200" s="225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1941" t="s">
        <v>2590</v>
      </c>
      <c r="D201" s="1941"/>
      <c r="E201" s="1941"/>
      <c r="F201" s="1941"/>
      <c r="G201" s="1941"/>
      <c r="H201" s="1941"/>
      <c r="I201" s="1941"/>
      <c r="J201" s="1941"/>
      <c r="K201" s="1941"/>
      <c r="L201" s="1941"/>
      <c r="M201" s="1941"/>
      <c r="N201" s="1941"/>
      <c r="O201" s="1945">
        <f>SUM(O199:W200)</f>
        <v>0</v>
      </c>
      <c r="P201" s="1946"/>
      <c r="Q201" s="1946"/>
      <c r="R201" s="1946"/>
      <c r="S201" s="1946"/>
      <c r="T201" s="1946"/>
      <c r="U201" s="1946"/>
      <c r="V201" s="1946"/>
      <c r="W201" s="1946"/>
      <c r="X201" s="1946" t="s">
        <v>2589</v>
      </c>
      <c r="Y201" s="1946"/>
      <c r="Z201" s="1946"/>
      <c r="AA201" s="1946"/>
      <c r="AB201" s="1946"/>
      <c r="AC201" s="1946"/>
      <c r="AD201" s="1946"/>
      <c r="AE201" s="1946"/>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1942" t="s">
        <v>2588</v>
      </c>
      <c r="D202" s="1942"/>
      <c r="E202" s="1942"/>
      <c r="F202" s="1942"/>
      <c r="G202" s="1942"/>
      <c r="H202" s="1942"/>
      <c r="I202" s="1942"/>
      <c r="J202" s="1942"/>
      <c r="K202" s="1942"/>
      <c r="L202" s="1942"/>
      <c r="M202" s="1942"/>
      <c r="N202" s="1942"/>
      <c r="O202" s="1942"/>
      <c r="P202" s="1942"/>
      <c r="Q202" s="1942"/>
      <c r="R202" s="1942"/>
      <c r="S202" s="1942"/>
      <c r="T202" s="1942"/>
      <c r="U202" s="1942"/>
      <c r="V202" s="1942"/>
      <c r="W202" s="1942"/>
      <c r="X202" s="1942"/>
      <c r="Y202" s="1942"/>
      <c r="Z202" s="1942"/>
      <c r="AA202" s="1942"/>
      <c r="AB202" s="1942"/>
      <c r="AC202" s="1942"/>
      <c r="AD202" s="1942"/>
      <c r="AE202" s="1942"/>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60" t="s">
        <v>2587</v>
      </c>
      <c r="D204" s="2261"/>
      <c r="E204" s="2261"/>
      <c r="F204" s="2261"/>
      <c r="G204" s="2261"/>
      <c r="H204" s="2261"/>
      <c r="I204" s="2261"/>
      <c r="J204" s="2261"/>
      <c r="K204" s="2261"/>
      <c r="L204" s="2261"/>
      <c r="M204" s="2261"/>
      <c r="N204" s="2261"/>
      <c r="O204" s="2261"/>
      <c r="P204" s="2261"/>
      <c r="Q204" s="2261"/>
      <c r="R204" s="2261"/>
      <c r="S204" s="2261"/>
      <c r="T204" s="2261"/>
      <c r="U204" s="2261"/>
      <c r="V204" s="2261"/>
      <c r="W204" s="2261"/>
      <c r="X204" s="2261"/>
      <c r="Y204" s="2261"/>
      <c r="Z204" s="2261"/>
      <c r="AA204" s="2261"/>
      <c r="AB204" s="2261"/>
      <c r="AC204" s="2261"/>
      <c r="AD204" s="2261"/>
      <c r="AE204" s="2261"/>
      <c r="AF204" s="2261"/>
      <c r="AG204" s="2261"/>
      <c r="AH204" s="2261"/>
      <c r="AI204" s="2261"/>
      <c r="AJ204" s="2261"/>
      <c r="AK204" s="226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63" t="s">
        <v>2586</v>
      </c>
      <c r="D205" s="2264"/>
      <c r="E205" s="2264"/>
      <c r="F205" s="2265"/>
      <c r="G205" s="2269" t="s">
        <v>2585</v>
      </c>
      <c r="H205" s="2264"/>
      <c r="I205" s="2264"/>
      <c r="J205" s="2264"/>
      <c r="K205" s="2264"/>
      <c r="L205" s="2264"/>
      <c r="M205" s="2264"/>
      <c r="N205" s="2264"/>
      <c r="O205" s="2265"/>
      <c r="P205" s="2271" t="s">
        <v>2584</v>
      </c>
      <c r="Q205" s="2272"/>
      <c r="R205" s="2272"/>
      <c r="S205" s="2272"/>
      <c r="T205" s="2273"/>
      <c r="U205" s="2277" t="s">
        <v>2583</v>
      </c>
      <c r="V205" s="2278"/>
      <c r="W205" s="2278"/>
      <c r="X205" s="2279"/>
      <c r="Y205" s="2277" t="s">
        <v>2582</v>
      </c>
      <c r="Z205" s="2278"/>
      <c r="AA205" s="2278"/>
      <c r="AB205" s="2279"/>
      <c r="AC205" s="2277" t="s">
        <v>2581</v>
      </c>
      <c r="AD205" s="2278"/>
      <c r="AE205" s="2278"/>
      <c r="AF205" s="2279"/>
      <c r="AG205" s="2269" t="s">
        <v>2580</v>
      </c>
      <c r="AH205" s="2264"/>
      <c r="AI205" s="2264"/>
      <c r="AJ205" s="2264"/>
      <c r="AK205" s="232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66"/>
      <c r="D206" s="2267"/>
      <c r="E206" s="2267"/>
      <c r="F206" s="2268"/>
      <c r="G206" s="2270"/>
      <c r="H206" s="2267"/>
      <c r="I206" s="2267"/>
      <c r="J206" s="2267"/>
      <c r="K206" s="2267"/>
      <c r="L206" s="2267"/>
      <c r="M206" s="2267"/>
      <c r="N206" s="2267"/>
      <c r="O206" s="2268"/>
      <c r="P206" s="2274"/>
      <c r="Q206" s="2275"/>
      <c r="R206" s="2275"/>
      <c r="S206" s="2275"/>
      <c r="T206" s="2276"/>
      <c r="U206" s="2280"/>
      <c r="V206" s="2281"/>
      <c r="W206" s="2281"/>
      <c r="X206" s="2282"/>
      <c r="Y206" s="2280"/>
      <c r="Z206" s="2281"/>
      <c r="AA206" s="2281"/>
      <c r="AB206" s="2282"/>
      <c r="AC206" s="2280"/>
      <c r="AD206" s="2281"/>
      <c r="AE206" s="2281"/>
      <c r="AF206" s="2282"/>
      <c r="AG206" s="2270"/>
      <c r="AH206" s="2267"/>
      <c r="AI206" s="2267"/>
      <c r="AJ206" s="2267"/>
      <c r="AK206" s="232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1920">
        <v>1</v>
      </c>
      <c r="D207" s="1921"/>
      <c r="E207" s="1921"/>
      <c r="F207" s="1921"/>
      <c r="G207" s="1922" t="s">
        <v>2151</v>
      </c>
      <c r="H207" s="1922"/>
      <c r="I207" s="1922"/>
      <c r="J207" s="1922"/>
      <c r="K207" s="1922"/>
      <c r="L207" s="1922"/>
      <c r="M207" s="1922"/>
      <c r="N207" s="1922"/>
      <c r="O207" s="1922"/>
      <c r="P207" s="1923"/>
      <c r="Q207" s="2329"/>
      <c r="R207" s="2329"/>
      <c r="S207" s="2329"/>
      <c r="T207" s="2329"/>
      <c r="U207" s="1924" t="s">
        <v>2151</v>
      </c>
      <c r="V207" s="1924"/>
      <c r="W207" s="1924"/>
      <c r="X207" s="1924"/>
      <c r="Y207" s="1924" t="s">
        <v>2151</v>
      </c>
      <c r="Z207" s="1924"/>
      <c r="AA207" s="1924"/>
      <c r="AB207" s="1924"/>
      <c r="AC207" s="1925" t="s">
        <v>2151</v>
      </c>
      <c r="AD207" s="1925"/>
      <c r="AE207" s="1925"/>
      <c r="AF207" s="1925"/>
      <c r="AG207" s="2321"/>
      <c r="AH207" s="2322"/>
      <c r="AI207" s="2322"/>
      <c r="AJ207" s="2322"/>
      <c r="AK207" s="232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1920">
        <v>2</v>
      </c>
      <c r="D208" s="1921"/>
      <c r="E208" s="1921"/>
      <c r="F208" s="1921"/>
      <c r="G208" s="1922" t="s">
        <v>2151</v>
      </c>
      <c r="H208" s="1922"/>
      <c r="I208" s="1922"/>
      <c r="J208" s="1922"/>
      <c r="K208" s="1922"/>
      <c r="L208" s="1922"/>
      <c r="M208" s="1922"/>
      <c r="N208" s="1922"/>
      <c r="O208" s="1922"/>
      <c r="P208" s="1923"/>
      <c r="Q208" s="1923"/>
      <c r="R208" s="1923"/>
      <c r="S208" s="1923"/>
      <c r="T208" s="1923"/>
      <c r="U208" s="1924" t="s">
        <v>2151</v>
      </c>
      <c r="V208" s="1924"/>
      <c r="W208" s="1924"/>
      <c r="X208" s="1924"/>
      <c r="Y208" s="1924" t="s">
        <v>2151</v>
      </c>
      <c r="Z208" s="1924"/>
      <c r="AA208" s="1924"/>
      <c r="AB208" s="1924"/>
      <c r="AC208" s="1925" t="s">
        <v>2151</v>
      </c>
      <c r="AD208" s="1925"/>
      <c r="AE208" s="1925"/>
      <c r="AF208" s="1925"/>
      <c r="AG208" s="2321"/>
      <c r="AH208" s="2322"/>
      <c r="AI208" s="2322"/>
      <c r="AJ208" s="2322"/>
      <c r="AK208" s="232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1920">
        <v>3</v>
      </c>
      <c r="D209" s="1921"/>
      <c r="E209" s="1921"/>
      <c r="F209" s="1921"/>
      <c r="G209" s="1922" t="s">
        <v>2151</v>
      </c>
      <c r="H209" s="1922"/>
      <c r="I209" s="1922"/>
      <c r="J209" s="1922"/>
      <c r="K209" s="1922"/>
      <c r="L209" s="1922"/>
      <c r="M209" s="1922"/>
      <c r="N209" s="1922"/>
      <c r="O209" s="1922"/>
      <c r="P209" s="1923"/>
      <c r="Q209" s="1923"/>
      <c r="R209" s="1923"/>
      <c r="S209" s="1923"/>
      <c r="T209" s="1923"/>
      <c r="U209" s="1924" t="s">
        <v>2151</v>
      </c>
      <c r="V209" s="1924"/>
      <c r="W209" s="1924"/>
      <c r="X209" s="1924"/>
      <c r="Y209" s="1924" t="s">
        <v>2151</v>
      </c>
      <c r="Z209" s="1924"/>
      <c r="AA209" s="1924"/>
      <c r="AB209" s="1924"/>
      <c r="AC209" s="1925" t="s">
        <v>2151</v>
      </c>
      <c r="AD209" s="1925"/>
      <c r="AE209" s="1925"/>
      <c r="AF209" s="1925"/>
      <c r="AG209" s="2321"/>
      <c r="AH209" s="2322"/>
      <c r="AI209" s="2322"/>
      <c r="AJ209" s="2322"/>
      <c r="AK209" s="232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1920">
        <v>4</v>
      </c>
      <c r="D210" s="1921"/>
      <c r="E210" s="1921"/>
      <c r="F210" s="1921"/>
      <c r="G210" s="1922" t="s">
        <v>2151</v>
      </c>
      <c r="H210" s="1922"/>
      <c r="I210" s="1922"/>
      <c r="J210" s="1922"/>
      <c r="K210" s="1922"/>
      <c r="L210" s="1922"/>
      <c r="M210" s="1922"/>
      <c r="N210" s="1922"/>
      <c r="O210" s="1922"/>
      <c r="P210" s="1923"/>
      <c r="Q210" s="1923"/>
      <c r="R210" s="1923"/>
      <c r="S210" s="1923"/>
      <c r="T210" s="1923"/>
      <c r="U210" s="1924" t="s">
        <v>2151</v>
      </c>
      <c r="V210" s="1924"/>
      <c r="W210" s="1924"/>
      <c r="X210" s="1924"/>
      <c r="Y210" s="1924" t="s">
        <v>2151</v>
      </c>
      <c r="Z210" s="1924"/>
      <c r="AA210" s="1924"/>
      <c r="AB210" s="1924"/>
      <c r="AC210" s="1925" t="s">
        <v>2151</v>
      </c>
      <c r="AD210" s="1925"/>
      <c r="AE210" s="1925"/>
      <c r="AF210" s="1925"/>
      <c r="AG210" s="2321"/>
      <c r="AH210" s="2322"/>
      <c r="AI210" s="2322"/>
      <c r="AJ210" s="2322"/>
      <c r="AK210" s="232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1920">
        <v>5</v>
      </c>
      <c r="D211" s="1921"/>
      <c r="E211" s="1921"/>
      <c r="F211" s="1921"/>
      <c r="G211" s="1922"/>
      <c r="H211" s="1922"/>
      <c r="I211" s="1922"/>
      <c r="J211" s="1922"/>
      <c r="K211" s="1922"/>
      <c r="L211" s="1922"/>
      <c r="M211" s="1922"/>
      <c r="N211" s="1922"/>
      <c r="O211" s="1922"/>
      <c r="P211" s="1923"/>
      <c r="Q211" s="1923"/>
      <c r="R211" s="1923"/>
      <c r="S211" s="1923"/>
      <c r="T211" s="1923"/>
      <c r="U211" s="1924" t="s">
        <v>2151</v>
      </c>
      <c r="V211" s="1924"/>
      <c r="W211" s="1924"/>
      <c r="X211" s="1924"/>
      <c r="Y211" s="1924" t="s">
        <v>2151</v>
      </c>
      <c r="Z211" s="1924"/>
      <c r="AA211" s="1924"/>
      <c r="AB211" s="1924"/>
      <c r="AC211" s="1925" t="s">
        <v>2151</v>
      </c>
      <c r="AD211" s="1925"/>
      <c r="AE211" s="1925"/>
      <c r="AF211" s="1925"/>
      <c r="AG211" s="2321"/>
      <c r="AH211" s="2322"/>
      <c r="AI211" s="2322"/>
      <c r="AJ211" s="2322"/>
      <c r="AK211" s="232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1920">
        <v>6</v>
      </c>
      <c r="D212" s="1921"/>
      <c r="E212" s="1921"/>
      <c r="F212" s="1921"/>
      <c r="G212" s="1922" t="s">
        <v>2151</v>
      </c>
      <c r="H212" s="1922"/>
      <c r="I212" s="1922"/>
      <c r="J212" s="1922"/>
      <c r="K212" s="1922"/>
      <c r="L212" s="1922"/>
      <c r="M212" s="1922"/>
      <c r="N212" s="1922"/>
      <c r="O212" s="1922"/>
      <c r="P212" s="1923"/>
      <c r="Q212" s="1923"/>
      <c r="R212" s="1923"/>
      <c r="S212" s="1923"/>
      <c r="T212" s="1923"/>
      <c r="U212" s="1924"/>
      <c r="V212" s="1924"/>
      <c r="W212" s="1924"/>
      <c r="X212" s="1924"/>
      <c r="Y212" s="1924"/>
      <c r="Z212" s="1924"/>
      <c r="AA212" s="1924"/>
      <c r="AB212" s="1924"/>
      <c r="AC212" s="1925" t="s">
        <v>2151</v>
      </c>
      <c r="AD212" s="1925"/>
      <c r="AE212" s="1925"/>
      <c r="AF212" s="1925"/>
      <c r="AG212" s="2321"/>
      <c r="AH212" s="2322"/>
      <c r="AI212" s="2322"/>
      <c r="AJ212" s="2322"/>
      <c r="AK212" s="232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1920">
        <v>7</v>
      </c>
      <c r="D213" s="1921"/>
      <c r="E213" s="1921"/>
      <c r="F213" s="1921"/>
      <c r="G213" s="1926"/>
      <c r="H213" s="1927"/>
      <c r="I213" s="1927"/>
      <c r="J213" s="1927"/>
      <c r="K213" s="1927"/>
      <c r="L213" s="1927"/>
      <c r="M213" s="1927"/>
      <c r="N213" s="1927"/>
      <c r="O213" s="1928"/>
      <c r="P213" s="1923"/>
      <c r="Q213" s="1923"/>
      <c r="R213" s="1923"/>
      <c r="S213" s="1923"/>
      <c r="T213" s="1923"/>
      <c r="U213" s="1924"/>
      <c r="V213" s="1924"/>
      <c r="W213" s="1924"/>
      <c r="X213" s="1924"/>
      <c r="Y213" s="1924"/>
      <c r="Z213" s="1924"/>
      <c r="AA213" s="1924"/>
      <c r="AB213" s="1924"/>
      <c r="AC213" s="1925" t="s">
        <v>2151</v>
      </c>
      <c r="AD213" s="1925"/>
      <c r="AE213" s="1925"/>
      <c r="AF213" s="1925"/>
      <c r="AG213" s="2321"/>
      <c r="AH213" s="2322"/>
      <c r="AI213" s="2322"/>
      <c r="AJ213" s="2322"/>
      <c r="AK213" s="232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1915" t="s">
        <v>2579</v>
      </c>
      <c r="D214" s="1916"/>
      <c r="E214" s="1916"/>
      <c r="F214" s="1916"/>
      <c r="G214" s="1916"/>
      <c r="H214" s="1916"/>
      <c r="I214" s="1916"/>
      <c r="J214" s="1916"/>
      <c r="K214" s="1916"/>
      <c r="L214" s="1916"/>
      <c r="M214" s="1916"/>
      <c r="N214" s="1916"/>
      <c r="O214" s="1916"/>
      <c r="P214" s="1917"/>
      <c r="Q214" s="1917"/>
      <c r="R214" s="1917"/>
      <c r="S214" s="1917"/>
      <c r="T214" s="1917"/>
      <c r="U214" s="1918">
        <v>0</v>
      </c>
      <c r="V214" s="1918"/>
      <c r="W214" s="1918"/>
      <c r="X214" s="1918"/>
      <c r="Y214" s="1918">
        <v>0</v>
      </c>
      <c r="Z214" s="1918"/>
      <c r="AA214" s="1918"/>
      <c r="AB214" s="1918"/>
      <c r="AC214" s="1919">
        <v>0</v>
      </c>
      <c r="AD214" s="1919"/>
      <c r="AE214" s="1919"/>
      <c r="AF214" s="1919"/>
      <c r="AG214" s="2324"/>
      <c r="AH214" s="2325"/>
      <c r="AI214" s="2325"/>
      <c r="AJ214" s="2325"/>
      <c r="AK214" s="232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2578</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97" t="s">
        <v>1851</v>
      </c>
      <c r="C219" s="2298"/>
      <c r="D219" s="2298"/>
      <c r="E219" s="2298"/>
      <c r="F219" s="2298"/>
      <c r="G219" s="2298"/>
      <c r="H219" s="2298"/>
      <c r="I219" s="2298"/>
      <c r="J219" s="2298"/>
      <c r="K219" s="2298"/>
      <c r="L219" s="2298"/>
      <c r="M219" s="2298"/>
      <c r="N219" s="2298"/>
      <c r="O219" s="2298"/>
      <c r="P219" s="2298"/>
      <c r="Q219" s="2298"/>
      <c r="R219" s="2298"/>
      <c r="S219" s="2298"/>
      <c r="T219" s="2298"/>
      <c r="U219" s="2298"/>
      <c r="V219" s="2298"/>
      <c r="W219" s="2298"/>
      <c r="X219" s="2298"/>
      <c r="Y219" s="2298"/>
      <c r="Z219" s="2298"/>
      <c r="AA219" s="2298"/>
      <c r="AB219" s="2298"/>
      <c r="AC219" s="2298"/>
      <c r="AD219" s="2298"/>
      <c r="AE219" s="2298"/>
      <c r="AF219" s="2298"/>
      <c r="AG219" s="2298"/>
      <c r="AH219" s="2298"/>
      <c r="AI219" s="2298"/>
      <c r="AJ219" s="2298"/>
      <c r="AK219" s="2298"/>
      <c r="AL219" s="2298"/>
      <c r="AM219" s="2298"/>
      <c r="AN219" s="2298"/>
      <c r="AO219" s="2298"/>
      <c r="AP219" s="2298"/>
      <c r="AQ219" s="2298"/>
      <c r="AR219" s="2298"/>
      <c r="AS219" s="2298"/>
      <c r="AT219" s="2298"/>
      <c r="AU219" s="2298"/>
      <c r="AV219" s="2298"/>
      <c r="AW219" s="2298"/>
      <c r="AX219" s="2298"/>
      <c r="AY219" s="2298"/>
      <c r="AZ219" s="2298"/>
      <c r="BA219" s="2298"/>
      <c r="BB219" s="2298"/>
      <c r="BC219" s="2298"/>
      <c r="BD219" s="2299"/>
      <c r="BE219" s="1202"/>
    </row>
    <row r="220" spans="1:57" ht="15.75" customHeight="1">
      <c r="A220" s="1206"/>
      <c r="B220" s="2300"/>
      <c r="C220" s="2301"/>
      <c r="D220" s="2301"/>
      <c r="E220" s="2301"/>
      <c r="F220" s="2301"/>
      <c r="G220" s="2301"/>
      <c r="H220" s="2301"/>
      <c r="I220" s="2301"/>
      <c r="J220" s="2301"/>
      <c r="K220" s="2301"/>
      <c r="L220" s="2301"/>
      <c r="M220" s="2301"/>
      <c r="N220" s="2301"/>
      <c r="O220" s="2301"/>
      <c r="P220" s="2301"/>
      <c r="Q220" s="2301"/>
      <c r="R220" s="2301"/>
      <c r="S220" s="2301"/>
      <c r="T220" s="2301"/>
      <c r="U220" s="2301"/>
      <c r="V220" s="2301"/>
      <c r="W220" s="2301"/>
      <c r="X220" s="2301"/>
      <c r="Y220" s="2301"/>
      <c r="Z220" s="2301"/>
      <c r="AA220" s="2301"/>
      <c r="AB220" s="2301"/>
      <c r="AC220" s="2301"/>
      <c r="AD220" s="2301"/>
      <c r="AE220" s="2301"/>
      <c r="AF220" s="2301"/>
      <c r="AG220" s="2301"/>
      <c r="AH220" s="2301"/>
      <c r="AI220" s="2301"/>
      <c r="AJ220" s="2301"/>
      <c r="AK220" s="2301"/>
      <c r="AL220" s="2301"/>
      <c r="AM220" s="2301"/>
      <c r="AN220" s="2301"/>
      <c r="AO220" s="2301"/>
      <c r="AP220" s="2301"/>
      <c r="AQ220" s="2301"/>
      <c r="AR220" s="2301"/>
      <c r="AS220" s="2301"/>
      <c r="AT220" s="2301"/>
      <c r="AU220" s="2301"/>
      <c r="AV220" s="2301"/>
      <c r="AW220" s="2301"/>
      <c r="AX220" s="2301"/>
      <c r="AY220" s="2301"/>
      <c r="AZ220" s="2301"/>
      <c r="BA220" s="2301"/>
      <c r="BB220" s="2301"/>
      <c r="BC220" s="2301"/>
      <c r="BD220" s="2302"/>
      <c r="BE220" s="1202"/>
    </row>
    <row r="221" spans="1:57" ht="15.75" customHeight="1">
      <c r="A221" s="1206"/>
      <c r="B221" s="2303" t="s">
        <v>1852</v>
      </c>
      <c r="C221" s="2304"/>
      <c r="D221" s="2304"/>
      <c r="E221" s="2304"/>
      <c r="F221" s="2304"/>
      <c r="G221" s="2304"/>
      <c r="H221" s="2304"/>
      <c r="I221" s="2304"/>
      <c r="J221" s="2304"/>
      <c r="K221" s="2304"/>
      <c r="L221" s="2304"/>
      <c r="M221" s="2304"/>
      <c r="N221" s="2304"/>
      <c r="O221" s="2304"/>
      <c r="P221" s="2304"/>
      <c r="Q221" s="2304"/>
      <c r="R221" s="2304"/>
      <c r="S221" s="2304"/>
      <c r="T221" s="2304"/>
      <c r="U221" s="2304"/>
      <c r="V221" s="2304"/>
      <c r="W221" s="2304"/>
      <c r="X221" s="2304"/>
      <c r="Y221" s="2304"/>
      <c r="Z221" s="2304"/>
      <c r="AA221" s="2304"/>
      <c r="AB221" s="2304"/>
      <c r="AC221" s="2304"/>
      <c r="AD221" s="2304"/>
      <c r="AE221" s="2304"/>
      <c r="AF221" s="2304"/>
      <c r="AG221" s="2304"/>
      <c r="AH221" s="2304"/>
      <c r="AI221" s="2304"/>
      <c r="AJ221" s="2304"/>
      <c r="AK221" s="2304"/>
      <c r="AL221" s="2304"/>
      <c r="AM221" s="2304"/>
      <c r="AN221" s="2304"/>
      <c r="AO221" s="2304"/>
      <c r="AP221" s="2304"/>
      <c r="AQ221" s="2304"/>
      <c r="AR221" s="2304"/>
      <c r="AS221" s="2304"/>
      <c r="AT221" s="2304"/>
      <c r="AU221" s="2304"/>
      <c r="AV221" s="2304"/>
      <c r="AW221" s="2304"/>
      <c r="AX221" s="2304"/>
      <c r="AY221" s="2304"/>
      <c r="AZ221" s="2304"/>
      <c r="BA221" s="2304"/>
      <c r="BB221" s="2304"/>
      <c r="BC221" s="2304"/>
      <c r="BD221" s="2305"/>
      <c r="BE221" s="1202"/>
    </row>
    <row r="222" spans="1:57" ht="15.75" customHeight="1">
      <c r="A222" s="1206"/>
      <c r="B222" s="2303" t="s">
        <v>1853</v>
      </c>
      <c r="C222" s="2304"/>
      <c r="D222" s="2304"/>
      <c r="E222" s="2304"/>
      <c r="F222" s="2304"/>
      <c r="G222" s="2304"/>
      <c r="H222" s="2304"/>
      <c r="I222" s="2304"/>
      <c r="J222" s="2304"/>
      <c r="K222" s="2304"/>
      <c r="L222" s="2304"/>
      <c r="M222" s="2304"/>
      <c r="N222" s="2304"/>
      <c r="O222" s="2304"/>
      <c r="P222" s="2304"/>
      <c r="Q222" s="2304"/>
      <c r="R222" s="2304"/>
      <c r="S222" s="2304"/>
      <c r="T222" s="2304"/>
      <c r="U222" s="2304"/>
      <c r="V222" s="2304"/>
      <c r="W222" s="2304"/>
      <c r="X222" s="2304"/>
      <c r="Y222" s="2304"/>
      <c r="Z222" s="2304"/>
      <c r="AA222" s="2304"/>
      <c r="AB222" s="2304"/>
      <c r="AC222" s="2304"/>
      <c r="AD222" s="2304"/>
      <c r="AE222" s="2304"/>
      <c r="AF222" s="2304"/>
      <c r="AG222" s="2304"/>
      <c r="AH222" s="2304"/>
      <c r="AI222" s="2304"/>
      <c r="AJ222" s="2304"/>
      <c r="AK222" s="2304"/>
      <c r="AL222" s="2304"/>
      <c r="AM222" s="2304"/>
      <c r="AN222" s="2304"/>
      <c r="AO222" s="2304"/>
      <c r="AP222" s="2304"/>
      <c r="AQ222" s="2304"/>
      <c r="AR222" s="2304"/>
      <c r="AS222" s="2304"/>
      <c r="AT222" s="2304"/>
      <c r="AU222" s="2304"/>
      <c r="AV222" s="2304"/>
      <c r="AW222" s="2304"/>
      <c r="AX222" s="2304"/>
      <c r="AY222" s="2304"/>
      <c r="AZ222" s="2304"/>
      <c r="BA222" s="2304"/>
      <c r="BB222" s="2304"/>
      <c r="BC222" s="2304"/>
      <c r="BD222" s="230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306" t="s">
        <v>1854</v>
      </c>
      <c r="C224" s="2307"/>
      <c r="D224" s="2307"/>
      <c r="E224" s="2307"/>
      <c r="F224" s="2307"/>
      <c r="G224" s="2307"/>
      <c r="H224" s="2307"/>
      <c r="I224" s="2307"/>
      <c r="J224" s="2307"/>
      <c r="K224" s="2307"/>
      <c r="L224" s="2307"/>
      <c r="M224" s="2307"/>
      <c r="N224" s="2307"/>
      <c r="O224" s="2307"/>
      <c r="P224" s="2307"/>
      <c r="Q224" s="2307"/>
      <c r="R224" s="2307"/>
      <c r="S224" s="2307"/>
      <c r="T224" s="2307"/>
      <c r="U224" s="2307"/>
      <c r="V224" s="2307"/>
      <c r="W224" s="2307"/>
      <c r="X224" s="2307"/>
      <c r="Y224" s="2307"/>
      <c r="Z224" s="2307"/>
      <c r="AA224" s="2307"/>
      <c r="AB224" s="2307"/>
      <c r="AC224" s="2307"/>
      <c r="AD224" s="2307"/>
      <c r="AE224" s="2307"/>
      <c r="AF224" s="2307"/>
      <c r="AG224" s="2307"/>
      <c r="AH224" s="2307"/>
      <c r="AI224" s="2307"/>
      <c r="AJ224" s="2307"/>
      <c r="AK224" s="2307"/>
      <c r="AL224" s="2307"/>
      <c r="AM224" s="2307"/>
      <c r="AN224" s="2307"/>
      <c r="AO224" s="2307"/>
      <c r="AP224" s="2307"/>
      <c r="AQ224" s="2307"/>
      <c r="AR224" s="2307"/>
      <c r="AS224" s="2307"/>
      <c r="AT224" s="2307"/>
      <c r="AU224" s="2307"/>
      <c r="AV224" s="2307"/>
      <c r="AW224" s="2307"/>
      <c r="AX224" s="2307"/>
      <c r="AY224" s="2307"/>
      <c r="AZ224" s="2307"/>
      <c r="BA224" s="2307"/>
      <c r="BB224" s="2307"/>
      <c r="BC224" s="2307"/>
      <c r="BD224" s="230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20" t="s">
        <v>1856</v>
      </c>
      <c r="I228" s="2320"/>
      <c r="J228" s="2320"/>
      <c r="K228" s="2320"/>
      <c r="L228" s="2320"/>
      <c r="M228" s="2320"/>
      <c r="N228" s="2320"/>
      <c r="O228" s="2320"/>
      <c r="P228" s="2320"/>
      <c r="Q228" s="2320"/>
      <c r="R228" s="2320"/>
      <c r="S228" s="2320"/>
      <c r="T228" s="2320"/>
      <c r="U228" s="2320"/>
      <c r="V228" s="2320"/>
      <c r="W228" s="2320"/>
      <c r="X228" s="2320"/>
      <c r="Y228" s="2320"/>
      <c r="Z228" s="2320"/>
      <c r="AA228" s="2320"/>
      <c r="AB228" s="2320"/>
      <c r="AC228" s="2320"/>
      <c r="AD228" s="2320"/>
      <c r="AE228" s="2320"/>
      <c r="AF228" s="2320"/>
      <c r="AG228" s="2320"/>
      <c r="AH228" s="2320"/>
      <c r="AI228" s="2320"/>
      <c r="AJ228" s="2320"/>
      <c r="AK228" s="2320"/>
      <c r="AL228" s="2320"/>
      <c r="AM228" s="2320"/>
      <c r="AN228" s="2320"/>
      <c r="AO228" s="2320"/>
      <c r="AP228" s="2320"/>
      <c r="AQ228" s="2320"/>
      <c r="AR228" s="2320"/>
      <c r="AS228" s="2320"/>
      <c r="AT228" s="2320"/>
      <c r="AU228" s="2320"/>
      <c r="AV228" s="2320"/>
      <c r="AW228" s="2320"/>
      <c r="AX228" s="2320"/>
      <c r="AY228" s="232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19" t="s">
        <v>2492</v>
      </c>
      <c r="I230" s="2319"/>
      <c r="J230" s="2319"/>
      <c r="K230" s="2319"/>
      <c r="L230" s="2319"/>
      <c r="M230" s="2319"/>
      <c r="N230" s="2319"/>
      <c r="O230" s="2319"/>
      <c r="P230" s="2319"/>
      <c r="Q230" s="2319"/>
      <c r="R230" s="2319"/>
      <c r="S230" s="2319"/>
      <c r="T230" s="2319"/>
      <c r="U230" s="2319"/>
      <c r="V230" s="2319"/>
      <c r="W230" s="2319"/>
      <c r="X230" s="2319"/>
      <c r="Y230" s="2319"/>
      <c r="Z230" s="2319"/>
      <c r="AA230" s="2319"/>
      <c r="AB230" s="2319"/>
      <c r="AC230" s="2319"/>
      <c r="AD230" s="2319"/>
      <c r="AE230" s="2319"/>
      <c r="AF230" s="2319"/>
      <c r="AG230" s="2319"/>
      <c r="AH230" s="2319"/>
      <c r="AI230" s="2319"/>
      <c r="AJ230" s="2319"/>
      <c r="AK230" s="2319"/>
      <c r="AL230" s="2319"/>
      <c r="AM230" s="2319"/>
      <c r="AN230" s="2319"/>
      <c r="AO230" s="2319"/>
      <c r="AP230" s="2319"/>
      <c r="AQ230" s="2319"/>
      <c r="AR230" s="2319"/>
      <c r="AS230" s="2319"/>
      <c r="AT230" s="2319"/>
      <c r="AU230" s="2319"/>
      <c r="AV230" s="2319"/>
      <c r="AW230" s="2319"/>
      <c r="AX230" s="2319"/>
      <c r="AY230" s="2319"/>
      <c r="AZ230" s="2319"/>
      <c r="BA230" s="1206"/>
      <c r="BB230" s="1206"/>
      <c r="BC230" s="1206"/>
      <c r="BD230" s="1202"/>
      <c r="BE230" s="1202"/>
    </row>
    <row r="231" spans="1:57" ht="15.75" customHeight="1">
      <c r="A231" s="1206"/>
      <c r="B231" s="1212"/>
      <c r="C231" s="1206"/>
      <c r="D231" s="1206"/>
      <c r="E231" s="1206"/>
      <c r="F231" s="1206"/>
      <c r="G231" s="1206"/>
      <c r="H231" s="2319"/>
      <c r="I231" s="2319"/>
      <c r="J231" s="2319"/>
      <c r="K231" s="2319"/>
      <c r="L231" s="2319"/>
      <c r="M231" s="2319"/>
      <c r="N231" s="2319"/>
      <c r="O231" s="2319"/>
      <c r="P231" s="2319"/>
      <c r="Q231" s="2319"/>
      <c r="R231" s="2319"/>
      <c r="S231" s="2319"/>
      <c r="T231" s="2319"/>
      <c r="U231" s="2319"/>
      <c r="V231" s="2319"/>
      <c r="W231" s="2319"/>
      <c r="X231" s="2319"/>
      <c r="Y231" s="2319"/>
      <c r="Z231" s="2319"/>
      <c r="AA231" s="2319"/>
      <c r="AB231" s="2319"/>
      <c r="AC231" s="2319"/>
      <c r="AD231" s="2319"/>
      <c r="AE231" s="2319"/>
      <c r="AF231" s="2319"/>
      <c r="AG231" s="2319"/>
      <c r="AH231" s="2319"/>
      <c r="AI231" s="2319"/>
      <c r="AJ231" s="2319"/>
      <c r="AK231" s="2319"/>
      <c r="AL231" s="2319"/>
      <c r="AM231" s="2319"/>
      <c r="AN231" s="2319"/>
      <c r="AO231" s="2319"/>
      <c r="AP231" s="2319"/>
      <c r="AQ231" s="2319"/>
      <c r="AR231" s="2319"/>
      <c r="AS231" s="2319"/>
      <c r="AT231" s="2319"/>
      <c r="AU231" s="2319"/>
      <c r="AV231" s="2319"/>
      <c r="AW231" s="2319"/>
      <c r="AX231" s="2319"/>
      <c r="AY231" s="2319"/>
      <c r="AZ231" s="2319"/>
      <c r="BA231" s="1206"/>
      <c r="BB231" s="1206"/>
      <c r="BC231" s="1206"/>
      <c r="BD231" s="1202"/>
      <c r="BE231" s="1202"/>
    </row>
    <row r="232" spans="1:57" ht="15.75" customHeight="1">
      <c r="A232" s="1206"/>
      <c r="B232" s="1212"/>
      <c r="C232" s="1206"/>
      <c r="D232" s="1206"/>
      <c r="E232" s="1206"/>
      <c r="F232" s="1206"/>
      <c r="G232" s="1206"/>
      <c r="H232" s="2319"/>
      <c r="I232" s="2319"/>
      <c r="J232" s="2319"/>
      <c r="K232" s="2319"/>
      <c r="L232" s="2319"/>
      <c r="M232" s="2319"/>
      <c r="N232" s="2319"/>
      <c r="O232" s="2319"/>
      <c r="P232" s="2319"/>
      <c r="Q232" s="2319"/>
      <c r="R232" s="2319"/>
      <c r="S232" s="2319"/>
      <c r="T232" s="2319"/>
      <c r="U232" s="2319"/>
      <c r="V232" s="2319"/>
      <c r="W232" s="2319"/>
      <c r="X232" s="2319"/>
      <c r="Y232" s="2319"/>
      <c r="Z232" s="2319"/>
      <c r="AA232" s="2319"/>
      <c r="AB232" s="2319"/>
      <c r="AC232" s="2319"/>
      <c r="AD232" s="2319"/>
      <c r="AE232" s="2319"/>
      <c r="AF232" s="2319"/>
      <c r="AG232" s="2319"/>
      <c r="AH232" s="2319"/>
      <c r="AI232" s="2319"/>
      <c r="AJ232" s="2319"/>
      <c r="AK232" s="2319"/>
      <c r="AL232" s="2319"/>
      <c r="AM232" s="2319"/>
      <c r="AN232" s="2319"/>
      <c r="AO232" s="2319"/>
      <c r="AP232" s="2319"/>
      <c r="AQ232" s="2319"/>
      <c r="AR232" s="2319"/>
      <c r="AS232" s="2319"/>
      <c r="AT232" s="2319"/>
      <c r="AU232" s="2319"/>
      <c r="AV232" s="2319"/>
      <c r="AW232" s="2319"/>
      <c r="AX232" s="2319"/>
      <c r="AY232" s="2319"/>
      <c r="AZ232" s="2319"/>
      <c r="BA232" s="1206"/>
      <c r="BB232" s="1206"/>
      <c r="BC232" s="1206"/>
      <c r="BD232" s="1202"/>
      <c r="BE232" s="1202"/>
    </row>
    <row r="233" spans="1:57" ht="15.75" customHeight="1">
      <c r="A233" s="1206"/>
      <c r="B233" s="1212"/>
      <c r="C233" s="1206"/>
      <c r="D233" s="1206"/>
      <c r="E233" s="1206"/>
      <c r="F233" s="1206"/>
      <c r="G233" s="1206"/>
      <c r="H233" s="2319"/>
      <c r="I233" s="2319"/>
      <c r="J233" s="2319"/>
      <c r="K233" s="2319"/>
      <c r="L233" s="2319"/>
      <c r="M233" s="2319"/>
      <c r="N233" s="2319"/>
      <c r="O233" s="2319"/>
      <c r="P233" s="2319"/>
      <c r="Q233" s="2319"/>
      <c r="R233" s="2319"/>
      <c r="S233" s="2319"/>
      <c r="T233" s="2319"/>
      <c r="U233" s="2319"/>
      <c r="V233" s="2319"/>
      <c r="W233" s="2319"/>
      <c r="X233" s="2319"/>
      <c r="Y233" s="2319"/>
      <c r="Z233" s="2319"/>
      <c r="AA233" s="2319"/>
      <c r="AB233" s="2319"/>
      <c r="AC233" s="2319"/>
      <c r="AD233" s="2319"/>
      <c r="AE233" s="2319"/>
      <c r="AF233" s="2319"/>
      <c r="AG233" s="2319"/>
      <c r="AH233" s="2319"/>
      <c r="AI233" s="2319"/>
      <c r="AJ233" s="2319"/>
      <c r="AK233" s="2319"/>
      <c r="AL233" s="2319"/>
      <c r="AM233" s="2319"/>
      <c r="AN233" s="2319"/>
      <c r="AO233" s="2319"/>
      <c r="AP233" s="2319"/>
      <c r="AQ233" s="2319"/>
      <c r="AR233" s="2319"/>
      <c r="AS233" s="2319"/>
      <c r="AT233" s="2319"/>
      <c r="AU233" s="2319"/>
      <c r="AV233" s="2319"/>
      <c r="AW233" s="2319"/>
      <c r="AX233" s="2319"/>
      <c r="AY233" s="2319"/>
      <c r="AZ233" s="231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18" t="s">
        <v>1857</v>
      </c>
      <c r="I235" s="2318"/>
      <c r="J235" s="2318"/>
      <c r="K235" s="2318"/>
      <c r="L235" s="2318"/>
      <c r="M235" s="2318"/>
      <c r="N235" s="2318"/>
      <c r="O235" s="2318"/>
      <c r="P235" s="2318"/>
      <c r="Q235" s="2318"/>
      <c r="R235" s="2318"/>
      <c r="S235" s="2318"/>
      <c r="T235" s="2318"/>
      <c r="U235" s="2318"/>
      <c r="V235" s="2318"/>
      <c r="W235" s="2318"/>
      <c r="X235" s="2318"/>
      <c r="Y235" s="2318"/>
      <c r="Z235" s="2318"/>
      <c r="AA235" s="2318"/>
      <c r="AB235" s="2318"/>
      <c r="AC235" s="2318"/>
      <c r="AD235" s="2318"/>
      <c r="AE235" s="2318"/>
      <c r="AF235" s="2318"/>
      <c r="AG235" s="2318"/>
      <c r="AH235" s="2318"/>
      <c r="AI235" s="2318"/>
      <c r="AJ235" s="2318"/>
      <c r="AK235" s="2318"/>
      <c r="AL235" s="2318"/>
      <c r="AM235" s="2318"/>
      <c r="AN235" s="2318"/>
      <c r="AO235" s="2318"/>
      <c r="AP235" s="2318"/>
      <c r="AQ235" s="2318"/>
      <c r="AR235" s="2318"/>
      <c r="AS235" s="2318"/>
      <c r="AT235" s="2318"/>
      <c r="AU235" s="2318"/>
      <c r="AV235" s="231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94" t="s">
        <v>1858</v>
      </c>
      <c r="I237" s="2294"/>
      <c r="J237" s="2294"/>
      <c r="K237" s="2294"/>
      <c r="L237" s="1208"/>
      <c r="M237" s="1208"/>
      <c r="N237" s="1208"/>
      <c r="O237" s="1208"/>
      <c r="P237" s="1208"/>
      <c r="Q237" s="1208"/>
      <c r="R237" s="1208"/>
      <c r="S237" s="2315"/>
      <c r="T237" s="2316"/>
      <c r="U237" s="2316"/>
      <c r="V237" s="2316"/>
      <c r="W237" s="2316"/>
      <c r="X237" s="2316"/>
      <c r="Y237" s="2316"/>
      <c r="Z237" s="2316"/>
      <c r="AA237" s="2316"/>
      <c r="AB237" s="2316"/>
      <c r="AC237" s="2316"/>
      <c r="AD237" s="2316"/>
      <c r="AE237" s="2316"/>
      <c r="AF237" s="2316"/>
      <c r="AG237" s="2316"/>
      <c r="AH237" s="2316"/>
      <c r="AI237" s="2316"/>
      <c r="AJ237" s="231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94" t="s">
        <v>1859</v>
      </c>
      <c r="I239" s="2294"/>
      <c r="J239" s="2294"/>
      <c r="K239" s="1210"/>
      <c r="L239" s="1208"/>
      <c r="M239" s="1208"/>
      <c r="N239" s="1208"/>
      <c r="O239" s="1208"/>
      <c r="P239" s="1208"/>
      <c r="Q239" s="1208"/>
      <c r="R239" s="1208"/>
      <c r="S239" s="2312"/>
      <c r="T239" s="2313"/>
      <c r="U239" s="2313"/>
      <c r="V239" s="2313"/>
      <c r="W239" s="2313"/>
      <c r="X239" s="2313"/>
      <c r="Y239" s="2313"/>
      <c r="Z239" s="2313"/>
      <c r="AA239" s="2313"/>
      <c r="AB239" s="2313"/>
      <c r="AC239" s="2313"/>
      <c r="AD239" s="2313"/>
      <c r="AE239" s="2313"/>
      <c r="AF239" s="2313"/>
      <c r="AG239" s="2313"/>
      <c r="AH239" s="2313"/>
      <c r="AI239" s="2313"/>
      <c r="AJ239" s="231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94" t="s">
        <v>443</v>
      </c>
      <c r="I241" s="2294"/>
      <c r="J241" s="1210"/>
      <c r="K241" s="1210"/>
      <c r="L241" s="1208"/>
      <c r="M241" s="1208"/>
      <c r="N241" s="1208"/>
      <c r="O241" s="1208"/>
      <c r="P241" s="1208"/>
      <c r="Q241" s="1208"/>
      <c r="R241" s="1208"/>
      <c r="S241" s="2312"/>
      <c r="T241" s="2313"/>
      <c r="U241" s="2313"/>
      <c r="V241" s="2313"/>
      <c r="W241" s="2313"/>
      <c r="X241" s="2313"/>
      <c r="Y241" s="2313"/>
      <c r="Z241" s="2313"/>
      <c r="AA241" s="2313"/>
      <c r="AB241" s="2313"/>
      <c r="AC241" s="2313"/>
      <c r="AD241" s="2313"/>
      <c r="AE241" s="2313"/>
      <c r="AF241" s="2313"/>
      <c r="AG241" s="2313"/>
      <c r="AH241" s="2313"/>
      <c r="AI241" s="2313"/>
      <c r="AJ241" s="231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95" t="s">
        <v>1860</v>
      </c>
      <c r="I243" s="2295"/>
      <c r="J243" s="2295"/>
      <c r="K243" s="2295"/>
      <c r="L243" s="2295"/>
      <c r="M243" s="2295"/>
      <c r="N243" s="2295"/>
      <c r="O243" s="2295"/>
      <c r="P243" s="1208"/>
      <c r="Q243" s="1208"/>
      <c r="R243" s="1208"/>
      <c r="S243" s="2312"/>
      <c r="T243" s="2313"/>
      <c r="U243" s="2313"/>
      <c r="V243" s="2313"/>
      <c r="W243" s="2313"/>
      <c r="X243" s="2313"/>
      <c r="Y243" s="2313"/>
      <c r="Z243" s="2313"/>
      <c r="AA243" s="2313"/>
      <c r="AB243" s="2313"/>
      <c r="AC243" s="2313"/>
      <c r="AD243" s="2313"/>
      <c r="AE243" s="2313"/>
      <c r="AF243" s="2313"/>
      <c r="AG243" s="2313"/>
      <c r="AH243" s="2313"/>
      <c r="AI243" s="2313"/>
      <c r="AJ243" s="231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96" t="s">
        <v>1861</v>
      </c>
      <c r="I245" s="2296"/>
      <c r="J245" s="1208"/>
      <c r="K245" s="1208"/>
      <c r="L245" s="1208"/>
      <c r="M245" s="1208"/>
      <c r="N245" s="1208"/>
      <c r="O245" s="1208"/>
      <c r="P245" s="1208"/>
      <c r="Q245" s="1208"/>
      <c r="R245" s="1208"/>
      <c r="S245" s="2309"/>
      <c r="T245" s="2310"/>
      <c r="U245" s="2310"/>
      <c r="V245" s="2310"/>
      <c r="W245" s="2310"/>
      <c r="X245" s="2310"/>
      <c r="Y245" s="2310"/>
      <c r="Z245" s="2310"/>
      <c r="AA245" s="2310"/>
      <c r="AB245" s="2310"/>
      <c r="AC245" s="2310"/>
      <c r="AD245" s="2310"/>
      <c r="AE245" s="2310"/>
      <c r="AF245" s="2310"/>
      <c r="AG245" s="2310"/>
      <c r="AH245" s="2310"/>
      <c r="AI245" s="2310"/>
      <c r="AJ245" s="231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21" workbookViewId="0">
      <selection activeCell="Q739" sqref="Q739"/>
    </sheetView>
  </sheetViews>
  <sheetFormatPr defaultColWidth="0" defaultRowHeight="13.2" zeroHeight="1"/>
  <cols>
    <col min="1" max="1" width="2.6640625" style="14" customWidth="1"/>
    <col min="2" max="3" width="2.33203125" style="14" customWidth="1"/>
    <col min="4" max="4" width="3.109375" style="14" customWidth="1"/>
    <col min="5" max="5" width="3.33203125" style="14" customWidth="1"/>
    <col min="6" max="6" width="2.77734375" style="14" customWidth="1"/>
    <col min="7" max="14" width="2.33203125" style="14" customWidth="1"/>
    <col min="15" max="15" width="2.77734375" style="14" customWidth="1"/>
    <col min="16" max="16" width="2.33203125" style="14" customWidth="1"/>
    <col min="17" max="17" width="3.77734375" style="14" customWidth="1"/>
    <col min="18" max="18" width="4.6640625" style="14" customWidth="1"/>
    <col min="19" max="19" width="3.33203125" style="14" customWidth="1"/>
    <col min="20" max="26" width="2.33203125" style="14" customWidth="1"/>
    <col min="27" max="30" width="2.6640625" style="14" customWidth="1"/>
    <col min="31" max="32" width="2.33203125" style="14" customWidth="1"/>
    <col min="33" max="33" width="3.33203125" style="14" customWidth="1"/>
    <col min="34" max="36" width="2.33203125" style="14" customWidth="1"/>
    <col min="37" max="37" width="5.6640625" style="14" customWidth="1"/>
    <col min="38" max="38" width="2.33203125" style="14" customWidth="1"/>
    <col min="39" max="39" width="3.33203125" style="14" customWidth="1"/>
    <col min="40" max="40" width="5.6640625" style="568" customWidth="1"/>
    <col min="41" max="41" width="5.6640625" style="30" hidden="1" customWidth="1"/>
    <col min="42" max="45" width="5.6640625" style="14" hidden="1" customWidth="1"/>
    <col min="46" max="46" width="10.77734375" style="14" hidden="1" customWidth="1"/>
    <col min="47" max="48" width="5.6640625" style="14" hidden="1" customWidth="1"/>
    <col min="49" max="49" width="8.6640625" style="14" hidden="1" customWidth="1"/>
    <col min="50" max="50" width="7.33203125" style="14" hidden="1" customWidth="1"/>
    <col min="51" max="55" width="5.6640625" style="14" hidden="1" customWidth="1"/>
    <col min="56" max="60" width="5.6640625" style="32" hidden="1" customWidth="1"/>
    <col min="61" max="81" width="5.6640625" style="14" hidden="1" customWidth="1"/>
    <col min="82" max="16384" width="9.109375" style="14" hidden="1"/>
  </cols>
  <sheetData>
    <row r="1" spans="1:42" ht="15.75" customHeight="1">
      <c r="A1" s="2388" t="s">
        <v>1408</v>
      </c>
      <c r="B1" s="2388"/>
      <c r="C1" s="2388"/>
      <c r="D1" s="2388"/>
      <c r="E1" s="2388"/>
      <c r="F1" s="2388"/>
      <c r="G1" s="2388"/>
      <c r="H1" s="2388"/>
      <c r="I1" s="2388"/>
      <c r="J1" s="2388"/>
      <c r="K1" s="2388"/>
      <c r="L1" s="2388"/>
      <c r="M1" s="2388"/>
      <c r="N1" s="2388"/>
      <c r="O1" s="2388"/>
      <c r="P1" s="2388"/>
      <c r="Q1" s="2388"/>
      <c r="R1" s="2388"/>
      <c r="S1" s="2388"/>
      <c r="T1" s="2388"/>
      <c r="U1" s="2388"/>
      <c r="V1" s="2388"/>
      <c r="W1" s="2388"/>
      <c r="X1" s="2388"/>
      <c r="Y1" s="2388"/>
      <c r="Z1" s="2388"/>
      <c r="AA1" s="2388"/>
      <c r="AB1" s="2388"/>
      <c r="AC1" s="2388"/>
      <c r="AD1" s="2388"/>
      <c r="AE1" s="2388"/>
      <c r="AF1" s="2388"/>
      <c r="AG1" s="2388"/>
      <c r="AH1" s="2388"/>
      <c r="AI1" s="2388"/>
      <c r="AJ1" s="2388"/>
      <c r="AK1" s="2388"/>
      <c r="AL1" s="2388"/>
      <c r="AM1" s="2388"/>
    </row>
    <row r="2" spans="1:42" s="570" customFormat="1" ht="12.75" customHeight="1" thickBot="1">
      <c r="A2" s="2389"/>
      <c r="B2" s="2389"/>
      <c r="C2" s="2389"/>
      <c r="D2" s="2389"/>
      <c r="E2" s="2389"/>
      <c r="F2" s="2389"/>
      <c r="G2" s="2389"/>
      <c r="H2" s="2389"/>
      <c r="I2" s="2389"/>
      <c r="J2" s="2389"/>
      <c r="K2" s="2389"/>
      <c r="L2" s="2389"/>
      <c r="M2" s="2389"/>
      <c r="N2" s="2389"/>
      <c r="O2" s="2389"/>
      <c r="P2" s="2389"/>
      <c r="Q2" s="2389"/>
      <c r="R2" s="2389"/>
      <c r="S2" s="2389"/>
      <c r="T2" s="2389"/>
      <c r="U2" s="2389"/>
      <c r="V2" s="2389"/>
      <c r="W2" s="2389"/>
      <c r="X2" s="2389"/>
      <c r="Y2" s="2389"/>
      <c r="Z2" s="2389"/>
      <c r="AA2" s="2389"/>
      <c r="AB2" s="2389"/>
      <c r="AC2" s="2389"/>
      <c r="AD2" s="2389"/>
      <c r="AE2" s="2389"/>
      <c r="AF2" s="2389"/>
      <c r="AG2" s="2389"/>
      <c r="AH2" s="2389"/>
      <c r="AI2" s="2389"/>
      <c r="AJ2" s="2389"/>
      <c r="AK2" s="2389"/>
      <c r="AL2" s="2389"/>
      <c r="AM2" s="2389"/>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2372" t="s">
        <v>1413</v>
      </c>
      <c r="AF7" s="2372"/>
      <c r="AG7" s="2372"/>
      <c r="AH7" s="2372"/>
      <c r="AI7" s="2372"/>
      <c r="AJ7" s="2372"/>
      <c r="AK7" s="2372"/>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2318</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2312</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362" t="s">
        <v>599</v>
      </c>
      <c r="C13" s="2362"/>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390"/>
      <c r="AH13" s="2390"/>
      <c r="AI13" s="2390"/>
      <c r="AJ13" s="2391"/>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362" t="s">
        <v>599</v>
      </c>
      <c r="C16" s="2362"/>
      <c r="D16" s="581"/>
      <c r="E16" s="2373" t="s">
        <v>1415</v>
      </c>
      <c r="F16" s="2374"/>
      <c r="G16" s="2374"/>
      <c r="H16" s="2374"/>
      <c r="I16" s="2374"/>
      <c r="J16" s="2374"/>
      <c r="K16" s="2374"/>
      <c r="L16" s="2374"/>
      <c r="M16" s="2374"/>
      <c r="N16" s="2374"/>
      <c r="O16" s="2374"/>
      <c r="P16" s="2374"/>
      <c r="Q16" s="2374"/>
      <c r="R16" s="2374"/>
      <c r="S16" s="2374"/>
      <c r="T16" s="2374"/>
      <c r="U16" s="2374"/>
      <c r="V16" s="2374"/>
      <c r="W16" s="2374"/>
      <c r="X16" s="2374"/>
      <c r="Y16" s="2374"/>
      <c r="Z16" s="2374"/>
      <c r="AA16" s="2374"/>
      <c r="AB16" s="2374"/>
      <c r="AC16" s="2374"/>
      <c r="AD16" s="2374"/>
      <c r="AE16" s="2374"/>
      <c r="AF16" s="2374"/>
      <c r="AG16" s="2374"/>
      <c r="AH16" s="2374"/>
      <c r="AI16" s="2374"/>
      <c r="AJ16" s="2375"/>
      <c r="AK16" s="574"/>
      <c r="AL16" s="574"/>
      <c r="AM16" s="574"/>
      <c r="AN16" s="569"/>
      <c r="AO16" s="584">
        <f>IF($B25="yes",20,0)</f>
        <v>0</v>
      </c>
      <c r="AP16" s="14"/>
    </row>
    <row r="17" spans="1:42" s="570" customFormat="1" ht="12.75" customHeight="1">
      <c r="A17" s="574"/>
      <c r="B17" s="574"/>
      <c r="C17" s="574"/>
      <c r="D17" s="585"/>
      <c r="E17" s="2376"/>
      <c r="F17" s="2377"/>
      <c r="G17" s="2377"/>
      <c r="H17" s="2377"/>
      <c r="I17" s="2377"/>
      <c r="J17" s="2377"/>
      <c r="K17" s="2377"/>
      <c r="L17" s="2377"/>
      <c r="M17" s="2377"/>
      <c r="N17" s="2377"/>
      <c r="O17" s="2377"/>
      <c r="P17" s="2377"/>
      <c r="Q17" s="2377"/>
      <c r="R17" s="2377"/>
      <c r="S17" s="2377"/>
      <c r="T17" s="2377"/>
      <c r="U17" s="2377"/>
      <c r="V17" s="2377"/>
      <c r="W17" s="2377"/>
      <c r="X17" s="2377"/>
      <c r="Y17" s="2377"/>
      <c r="Z17" s="2377"/>
      <c r="AA17" s="2377"/>
      <c r="AB17" s="2377"/>
      <c r="AC17" s="2377"/>
      <c r="AD17" s="2377"/>
      <c r="AE17" s="2377"/>
      <c r="AF17" s="2377"/>
      <c r="AG17" s="2377"/>
      <c r="AH17" s="2377"/>
      <c r="AI17" s="2377"/>
      <c r="AJ17" s="2378"/>
      <c r="AK17" s="574"/>
      <c r="AL17" s="574"/>
      <c r="AM17" s="574"/>
      <c r="AN17" s="569"/>
      <c r="AO17" s="570">
        <f>IF(SUM(AO13:AO16)&gt;20,20,(SUM(AO13:AO16)))</f>
        <v>0</v>
      </c>
      <c r="AP17" s="570" t="s">
        <v>1416</v>
      </c>
    </row>
    <row r="18" spans="1:42" s="570" customFormat="1" ht="12.75" customHeight="1">
      <c r="A18" s="574"/>
      <c r="B18" s="574"/>
      <c r="C18" s="574"/>
      <c r="D18" s="585"/>
      <c r="E18" s="2376"/>
      <c r="F18" s="2377"/>
      <c r="G18" s="2377"/>
      <c r="H18" s="2377"/>
      <c r="I18" s="2377"/>
      <c r="J18" s="2377"/>
      <c r="K18" s="2377"/>
      <c r="L18" s="2377"/>
      <c r="M18" s="2377"/>
      <c r="N18" s="2377"/>
      <c r="O18" s="2377"/>
      <c r="P18" s="2377"/>
      <c r="Q18" s="2377"/>
      <c r="R18" s="2377"/>
      <c r="S18" s="2377"/>
      <c r="T18" s="2377"/>
      <c r="U18" s="2377"/>
      <c r="V18" s="2377"/>
      <c r="W18" s="2377"/>
      <c r="X18" s="2377"/>
      <c r="Y18" s="2377"/>
      <c r="Z18" s="2377"/>
      <c r="AA18" s="2377"/>
      <c r="AB18" s="2377"/>
      <c r="AC18" s="2377"/>
      <c r="AD18" s="2377"/>
      <c r="AE18" s="2377"/>
      <c r="AF18" s="2377"/>
      <c r="AG18" s="2377"/>
      <c r="AH18" s="2377"/>
      <c r="AI18" s="2377"/>
      <c r="AJ18" s="2378"/>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401"/>
      <c r="F20" s="2402"/>
      <c r="G20" s="2402"/>
      <c r="H20" s="2402"/>
      <c r="I20" s="2402"/>
      <c r="J20" s="2402"/>
      <c r="K20" s="2402"/>
      <c r="L20" s="2402"/>
      <c r="M20" s="2402"/>
      <c r="N20" s="2402"/>
      <c r="O20" s="2402"/>
      <c r="P20" s="2402"/>
      <c r="Q20" s="2402"/>
      <c r="R20" s="2402"/>
      <c r="S20" s="2402"/>
      <c r="T20" s="2402"/>
      <c r="U20" s="2402"/>
      <c r="V20" s="2402"/>
      <c r="W20" s="2402"/>
      <c r="X20" s="2402"/>
      <c r="Y20" s="2402"/>
      <c r="Z20" s="2402"/>
      <c r="AA20" s="2402"/>
      <c r="AB20" s="2402"/>
      <c r="AC20" s="2402"/>
      <c r="AD20" s="2402"/>
      <c r="AE20" s="2402"/>
      <c r="AF20" s="2402"/>
      <c r="AG20" s="2402"/>
      <c r="AH20" s="2402"/>
      <c r="AI20" s="2402"/>
      <c r="AJ20" s="2403"/>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362" t="s">
        <v>599</v>
      </c>
      <c r="C22" s="2362"/>
      <c r="D22" s="581"/>
      <c r="E22" s="2395" t="s">
        <v>1418</v>
      </c>
      <c r="F22" s="2396"/>
      <c r="G22" s="2396"/>
      <c r="H22" s="2396"/>
      <c r="I22" s="2396"/>
      <c r="J22" s="2396"/>
      <c r="K22" s="2396"/>
      <c r="L22" s="2396"/>
      <c r="M22" s="2396"/>
      <c r="N22" s="2396"/>
      <c r="O22" s="2396"/>
      <c r="P22" s="2396"/>
      <c r="Q22" s="2396"/>
      <c r="R22" s="2396"/>
      <c r="S22" s="2396"/>
      <c r="T22" s="2396"/>
      <c r="U22" s="2396"/>
      <c r="V22" s="2396"/>
      <c r="W22" s="2396"/>
      <c r="X22" s="2396"/>
      <c r="Y22" s="2396"/>
      <c r="Z22" s="2396"/>
      <c r="AA22" s="2396"/>
      <c r="AB22" s="2396"/>
      <c r="AC22" s="2396"/>
      <c r="AD22" s="2396"/>
      <c r="AE22" s="2396"/>
      <c r="AF22" s="2396"/>
      <c r="AG22" s="2396"/>
      <c r="AH22" s="2396"/>
      <c r="AI22" s="2396"/>
      <c r="AJ22" s="2397"/>
      <c r="AK22" s="574"/>
      <c r="AL22" s="574"/>
      <c r="AM22" s="574"/>
      <c r="AN22" s="569"/>
      <c r="AO22" s="570">
        <f>IF(SUM(AO20:AO21)&gt;14,14,SUM(AO20:AO21))</f>
        <v>0</v>
      </c>
      <c r="AP22" s="570" t="s">
        <v>1416</v>
      </c>
    </row>
    <row r="23" spans="1:42" s="570" customFormat="1" ht="12.75" customHeight="1">
      <c r="A23" s="574"/>
      <c r="B23" s="574"/>
      <c r="C23" s="574"/>
      <c r="D23" s="584"/>
      <c r="E23" s="2398"/>
      <c r="F23" s="2399"/>
      <c r="G23" s="2399"/>
      <c r="H23" s="2399"/>
      <c r="I23" s="2399"/>
      <c r="J23" s="2399"/>
      <c r="K23" s="2399"/>
      <c r="L23" s="2399"/>
      <c r="M23" s="2399"/>
      <c r="N23" s="2399"/>
      <c r="O23" s="2399"/>
      <c r="P23" s="2399"/>
      <c r="Q23" s="2399"/>
      <c r="R23" s="2399"/>
      <c r="S23" s="2399"/>
      <c r="T23" s="2399"/>
      <c r="U23" s="2399"/>
      <c r="V23" s="2399"/>
      <c r="W23" s="2399"/>
      <c r="X23" s="2399"/>
      <c r="Y23" s="2399"/>
      <c r="Z23" s="2399"/>
      <c r="AA23" s="2399"/>
      <c r="AB23" s="2399"/>
      <c r="AC23" s="2399"/>
      <c r="AD23" s="2399"/>
      <c r="AE23" s="2399"/>
      <c r="AF23" s="2399"/>
      <c r="AG23" s="2399"/>
      <c r="AH23" s="2399"/>
      <c r="AI23" s="2399"/>
      <c r="AJ23" s="2400"/>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362" t="s">
        <v>599</v>
      </c>
      <c r="C25" s="2362"/>
      <c r="D25" s="581"/>
      <c r="E25" s="2363" t="s">
        <v>2342</v>
      </c>
      <c r="F25" s="2364"/>
      <c r="G25" s="2364"/>
      <c r="H25" s="2364"/>
      <c r="I25" s="2364"/>
      <c r="J25" s="2364"/>
      <c r="K25" s="2364"/>
      <c r="L25" s="2364"/>
      <c r="M25" s="2364"/>
      <c r="N25" s="2364"/>
      <c r="O25" s="2364"/>
      <c r="P25" s="2364"/>
      <c r="Q25" s="2364"/>
      <c r="R25" s="2364"/>
      <c r="S25" s="2364"/>
      <c r="T25" s="2364"/>
      <c r="U25" s="2364"/>
      <c r="V25" s="2364"/>
      <c r="W25" s="2364"/>
      <c r="X25" s="2364"/>
      <c r="Y25" s="2364"/>
      <c r="Z25" s="2364"/>
      <c r="AA25" s="2364"/>
      <c r="AB25" s="2364"/>
      <c r="AC25" s="2364"/>
      <c r="AD25" s="2364"/>
      <c r="AE25" s="2364"/>
      <c r="AF25" s="2364"/>
      <c r="AG25" s="2364"/>
      <c r="AH25" s="2364"/>
      <c r="AI25" s="2364"/>
      <c r="AJ25" s="2365"/>
      <c r="AK25" s="574"/>
      <c r="AL25" s="574"/>
      <c r="AM25" s="574"/>
      <c r="AN25" s="569"/>
      <c r="AO25" s="570">
        <f>IF(AO24&gt;6,6,AO24)</f>
        <v>0</v>
      </c>
      <c r="AP25" s="570" t="s">
        <v>1416</v>
      </c>
    </row>
    <row r="26" spans="1:42" s="570" customFormat="1" ht="12.75" customHeight="1">
      <c r="A26" s="574"/>
      <c r="B26" s="574"/>
      <c r="C26" s="574"/>
      <c r="D26" s="584"/>
      <c r="E26" s="2366"/>
      <c r="F26" s="2367"/>
      <c r="G26" s="2367"/>
      <c r="H26" s="2367"/>
      <c r="I26" s="2367"/>
      <c r="J26" s="2367"/>
      <c r="K26" s="2367"/>
      <c r="L26" s="2367"/>
      <c r="M26" s="2367"/>
      <c r="N26" s="2367"/>
      <c r="O26" s="2367"/>
      <c r="P26" s="2367"/>
      <c r="Q26" s="2367"/>
      <c r="R26" s="2367"/>
      <c r="S26" s="2367"/>
      <c r="T26" s="2367"/>
      <c r="U26" s="2367"/>
      <c r="V26" s="2367"/>
      <c r="W26" s="2367"/>
      <c r="X26" s="2367"/>
      <c r="Y26" s="2367"/>
      <c r="Z26" s="2367"/>
      <c r="AA26" s="2367"/>
      <c r="AB26" s="2367"/>
      <c r="AC26" s="2367"/>
      <c r="AD26" s="2367"/>
      <c r="AE26" s="2367"/>
      <c r="AF26" s="2367"/>
      <c r="AG26" s="2367"/>
      <c r="AH26" s="2367"/>
      <c r="AI26" s="2367"/>
      <c r="AJ26" s="236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2313</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2362" t="s">
        <v>599</v>
      </c>
      <c r="C30" s="2362"/>
      <c r="D30" s="581"/>
      <c r="E30" s="2395" t="s">
        <v>2314</v>
      </c>
      <c r="F30" s="2396"/>
      <c r="G30" s="2396"/>
      <c r="H30" s="2396"/>
      <c r="I30" s="2396"/>
      <c r="J30" s="2396"/>
      <c r="K30" s="2396"/>
      <c r="L30" s="2396"/>
      <c r="M30" s="2396"/>
      <c r="N30" s="2396"/>
      <c r="O30" s="2396"/>
      <c r="P30" s="2396"/>
      <c r="Q30" s="2396"/>
      <c r="R30" s="2396"/>
      <c r="S30" s="2396"/>
      <c r="T30" s="2396"/>
      <c r="U30" s="2396"/>
      <c r="V30" s="2396"/>
      <c r="W30" s="2396"/>
      <c r="X30" s="2396"/>
      <c r="Y30" s="2396"/>
      <c r="Z30" s="2396"/>
      <c r="AA30" s="2396"/>
      <c r="AB30" s="2396"/>
      <c r="AC30" s="2396"/>
      <c r="AD30" s="2396"/>
      <c r="AE30" s="2396"/>
      <c r="AF30" s="2396"/>
      <c r="AG30" s="2396"/>
      <c r="AH30" s="2396"/>
      <c r="AI30" s="2396"/>
      <c r="AJ30" s="2397"/>
      <c r="AK30" s="574"/>
      <c r="AL30" s="574"/>
      <c r="AM30" s="574"/>
      <c r="AN30" s="569"/>
      <c r="AO30" s="584"/>
    </row>
    <row r="31" spans="1:42" s="570" customFormat="1" ht="12.75" customHeight="1">
      <c r="A31" s="574"/>
      <c r="B31" s="574"/>
      <c r="C31" s="574"/>
      <c r="E31" s="2398"/>
      <c r="F31" s="2399"/>
      <c r="G31" s="2399"/>
      <c r="H31" s="2399"/>
      <c r="I31" s="2399"/>
      <c r="J31" s="2399"/>
      <c r="K31" s="2399"/>
      <c r="L31" s="2399"/>
      <c r="M31" s="2399"/>
      <c r="N31" s="2399"/>
      <c r="O31" s="2399"/>
      <c r="P31" s="2399"/>
      <c r="Q31" s="2399"/>
      <c r="R31" s="2399"/>
      <c r="S31" s="2399"/>
      <c r="T31" s="2399"/>
      <c r="U31" s="2399"/>
      <c r="V31" s="2399"/>
      <c r="W31" s="2399"/>
      <c r="X31" s="2399"/>
      <c r="Y31" s="2399"/>
      <c r="Z31" s="2399"/>
      <c r="AA31" s="2399"/>
      <c r="AB31" s="2399"/>
      <c r="AC31" s="2399"/>
      <c r="AD31" s="2399"/>
      <c r="AE31" s="2399"/>
      <c r="AF31" s="2399"/>
      <c r="AG31" s="2399"/>
      <c r="AH31" s="2399"/>
      <c r="AI31" s="2399"/>
      <c r="AJ31" s="2400"/>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362" t="s">
        <v>599</v>
      </c>
      <c r="C33" s="2362"/>
      <c r="D33" s="581"/>
      <c r="E33" s="2363" t="s">
        <v>2315</v>
      </c>
      <c r="F33" s="2364"/>
      <c r="G33" s="2364"/>
      <c r="H33" s="2364"/>
      <c r="I33" s="2364"/>
      <c r="J33" s="2364"/>
      <c r="K33" s="2364"/>
      <c r="L33" s="2364"/>
      <c r="M33" s="2364"/>
      <c r="N33" s="2364"/>
      <c r="O33" s="2364"/>
      <c r="P33" s="2364"/>
      <c r="Q33" s="2364"/>
      <c r="R33" s="2364"/>
      <c r="S33" s="2364"/>
      <c r="T33" s="2364"/>
      <c r="U33" s="2364"/>
      <c r="V33" s="2364"/>
      <c r="W33" s="2364"/>
      <c r="X33" s="2364"/>
      <c r="Y33" s="2364"/>
      <c r="Z33" s="2364"/>
      <c r="AA33" s="2364"/>
      <c r="AB33" s="2364"/>
      <c r="AC33" s="2364"/>
      <c r="AD33" s="2364"/>
      <c r="AE33" s="2364"/>
      <c r="AF33" s="2364"/>
      <c r="AG33" s="2364"/>
      <c r="AH33" s="2364"/>
      <c r="AI33" s="2364"/>
      <c r="AJ33" s="2365"/>
      <c r="AK33" s="574"/>
      <c r="AL33" s="574"/>
      <c r="AM33" s="574"/>
      <c r="AN33" s="569"/>
    </row>
    <row r="34" spans="1:41" s="570" customFormat="1" ht="12.75" customHeight="1">
      <c r="A34" s="574"/>
      <c r="B34" s="574"/>
      <c r="C34" s="574"/>
      <c r="E34" s="2369"/>
      <c r="F34" s="2370"/>
      <c r="G34" s="2370"/>
      <c r="H34" s="2370"/>
      <c r="I34" s="2370"/>
      <c r="J34" s="2370"/>
      <c r="K34" s="2370"/>
      <c r="L34" s="2370"/>
      <c r="M34" s="2370"/>
      <c r="N34" s="2370"/>
      <c r="O34" s="2370"/>
      <c r="P34" s="2370"/>
      <c r="Q34" s="2370"/>
      <c r="R34" s="2370"/>
      <c r="S34" s="2370"/>
      <c r="T34" s="2370"/>
      <c r="U34" s="2370"/>
      <c r="V34" s="2370"/>
      <c r="W34" s="2370"/>
      <c r="X34" s="2370"/>
      <c r="Y34" s="2370"/>
      <c r="Z34" s="2370"/>
      <c r="AA34" s="2370"/>
      <c r="AB34" s="2370"/>
      <c r="AC34" s="2370"/>
      <c r="AD34" s="2370"/>
      <c r="AE34" s="2370"/>
      <c r="AF34" s="2370"/>
      <c r="AG34" s="2370"/>
      <c r="AH34" s="2370"/>
      <c r="AI34" s="2370"/>
      <c r="AJ34" s="2371"/>
      <c r="AK34" s="574"/>
      <c r="AL34" s="574"/>
      <c r="AM34" s="574"/>
      <c r="AN34" s="569"/>
    </row>
    <row r="35" spans="1:41" s="570" customFormat="1" ht="12.75" customHeight="1">
      <c r="A35" s="574"/>
      <c r="B35" s="574"/>
      <c r="C35" s="574"/>
      <c r="E35" s="2366"/>
      <c r="F35" s="2367"/>
      <c r="G35" s="2367"/>
      <c r="H35" s="2367"/>
      <c r="I35" s="2367"/>
      <c r="J35" s="2367"/>
      <c r="K35" s="2367"/>
      <c r="L35" s="2367"/>
      <c r="M35" s="2367"/>
      <c r="N35" s="2367"/>
      <c r="O35" s="2367"/>
      <c r="P35" s="2367"/>
      <c r="Q35" s="2367"/>
      <c r="R35" s="2367"/>
      <c r="S35" s="2367"/>
      <c r="T35" s="2367"/>
      <c r="U35" s="2367"/>
      <c r="V35" s="2367"/>
      <c r="W35" s="2367"/>
      <c r="X35" s="2367"/>
      <c r="Y35" s="2367"/>
      <c r="Z35" s="2367"/>
      <c r="AA35" s="2367"/>
      <c r="AB35" s="2367"/>
      <c r="AC35" s="2367"/>
      <c r="AD35" s="2367"/>
      <c r="AE35" s="2367"/>
      <c r="AF35" s="2367"/>
      <c r="AG35" s="2367"/>
      <c r="AH35" s="2367"/>
      <c r="AI35" s="2367"/>
      <c r="AJ35" s="236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2317</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362" t="s">
        <v>599</v>
      </c>
      <c r="C39" s="2362"/>
      <c r="D39" s="1186"/>
      <c r="E39" s="2363" t="s">
        <v>2316</v>
      </c>
      <c r="F39" s="2364"/>
      <c r="G39" s="2364"/>
      <c r="H39" s="2364"/>
      <c r="I39" s="2364"/>
      <c r="J39" s="2364"/>
      <c r="K39" s="2364"/>
      <c r="L39" s="2364"/>
      <c r="M39" s="2364"/>
      <c r="N39" s="2364"/>
      <c r="O39" s="2364"/>
      <c r="P39" s="2364"/>
      <c r="Q39" s="2364"/>
      <c r="R39" s="2364"/>
      <c r="S39" s="2364"/>
      <c r="T39" s="2364"/>
      <c r="U39" s="2364"/>
      <c r="V39" s="2364"/>
      <c r="W39" s="2364"/>
      <c r="X39" s="2364"/>
      <c r="Y39" s="2364"/>
      <c r="Z39" s="2364"/>
      <c r="AA39" s="2364"/>
      <c r="AB39" s="2364"/>
      <c r="AC39" s="2364"/>
      <c r="AD39" s="2364"/>
      <c r="AE39" s="2364"/>
      <c r="AF39" s="2364"/>
      <c r="AG39" s="2364"/>
      <c r="AH39" s="2364"/>
      <c r="AI39" s="2364"/>
      <c r="AJ39" s="2365"/>
      <c r="AK39" s="1186"/>
      <c r="AL39" s="574"/>
      <c r="AM39" s="574"/>
      <c r="AN39" s="569"/>
    </row>
    <row r="40" spans="1:41" s="570" customFormat="1" ht="12.75" customHeight="1">
      <c r="A40" s="574"/>
      <c r="B40" s="574"/>
      <c r="C40" s="574"/>
      <c r="E40" s="2369"/>
      <c r="F40" s="2370"/>
      <c r="G40" s="2370"/>
      <c r="H40" s="2370"/>
      <c r="I40" s="2370"/>
      <c r="J40" s="2370"/>
      <c r="K40" s="2370"/>
      <c r="L40" s="2370"/>
      <c r="M40" s="2370"/>
      <c r="N40" s="2370"/>
      <c r="O40" s="2370"/>
      <c r="P40" s="2370"/>
      <c r="Q40" s="2370"/>
      <c r="R40" s="2370"/>
      <c r="S40" s="2370"/>
      <c r="T40" s="2370"/>
      <c r="U40" s="2370"/>
      <c r="V40" s="2370"/>
      <c r="W40" s="2370"/>
      <c r="X40" s="2370"/>
      <c r="Y40" s="2370"/>
      <c r="Z40" s="2370"/>
      <c r="AA40" s="2370"/>
      <c r="AB40" s="2370"/>
      <c r="AC40" s="2370"/>
      <c r="AD40" s="2370"/>
      <c r="AE40" s="2370"/>
      <c r="AF40" s="2370"/>
      <c r="AG40" s="2370"/>
      <c r="AH40" s="2370"/>
      <c r="AI40" s="2370"/>
      <c r="AJ40" s="2371"/>
      <c r="AK40" s="574"/>
      <c r="AL40" s="574"/>
      <c r="AM40" s="574"/>
      <c r="AN40" s="569"/>
    </row>
    <row r="41" spans="1:41" s="570" customFormat="1" ht="12.75" customHeight="1">
      <c r="A41" s="574"/>
      <c r="D41" s="581"/>
      <c r="E41" s="2366"/>
      <c r="F41" s="2367"/>
      <c r="G41" s="2367"/>
      <c r="H41" s="2367"/>
      <c r="I41" s="2367"/>
      <c r="J41" s="2367"/>
      <c r="K41" s="2367"/>
      <c r="L41" s="2367"/>
      <c r="M41" s="2367"/>
      <c r="N41" s="2367"/>
      <c r="O41" s="2367"/>
      <c r="P41" s="2367"/>
      <c r="Q41" s="2367"/>
      <c r="R41" s="2367"/>
      <c r="S41" s="2367"/>
      <c r="T41" s="2367"/>
      <c r="U41" s="2367"/>
      <c r="V41" s="2367"/>
      <c r="W41" s="2367"/>
      <c r="X41" s="2367"/>
      <c r="Y41" s="2367"/>
      <c r="Z41" s="2367"/>
      <c r="AA41" s="2367"/>
      <c r="AB41" s="2367"/>
      <c r="AC41" s="2367"/>
      <c r="AD41" s="2367"/>
      <c r="AE41" s="2367"/>
      <c r="AF41" s="2367"/>
      <c r="AG41" s="2367"/>
      <c r="AH41" s="2367"/>
      <c r="AI41" s="2367"/>
      <c r="AJ41" s="236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2319</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2320</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362" t="s">
        <v>599</v>
      </c>
      <c r="C46" s="2362"/>
      <c r="D46" s="574"/>
      <c r="E46" s="2363" t="s">
        <v>2321</v>
      </c>
      <c r="F46" s="2364"/>
      <c r="G46" s="2364"/>
      <c r="H46" s="2364"/>
      <c r="I46" s="2364"/>
      <c r="J46" s="2364"/>
      <c r="K46" s="2364"/>
      <c r="L46" s="2364"/>
      <c r="M46" s="2364"/>
      <c r="N46" s="2364"/>
      <c r="O46" s="2364"/>
      <c r="P46" s="2364"/>
      <c r="Q46" s="2364"/>
      <c r="R46" s="2364"/>
      <c r="S46" s="2364"/>
      <c r="T46" s="2364"/>
      <c r="U46" s="2364"/>
      <c r="V46" s="2364"/>
      <c r="W46" s="2364"/>
      <c r="X46" s="2364"/>
      <c r="Y46" s="2364"/>
      <c r="Z46" s="2364"/>
      <c r="AA46" s="2364"/>
      <c r="AB46" s="2364"/>
      <c r="AC46" s="2364"/>
      <c r="AD46" s="2364"/>
      <c r="AE46" s="2364"/>
      <c r="AF46" s="2364"/>
      <c r="AG46" s="2364"/>
      <c r="AH46" s="2364"/>
      <c r="AI46" s="2364"/>
      <c r="AJ46" s="2365"/>
      <c r="AK46" s="574"/>
      <c r="AL46" s="574"/>
      <c r="AM46" s="574"/>
      <c r="AN46" s="569"/>
      <c r="AO46" s="593"/>
    </row>
    <row r="47" spans="1:41" s="570" customFormat="1" ht="12.75" customHeight="1">
      <c r="A47" s="574"/>
      <c r="D47" s="581"/>
      <c r="E47" s="2369"/>
      <c r="F47" s="2370"/>
      <c r="G47" s="2370"/>
      <c r="H47" s="2370"/>
      <c r="I47" s="2370"/>
      <c r="J47" s="2370"/>
      <c r="K47" s="2370"/>
      <c r="L47" s="2370"/>
      <c r="M47" s="2370"/>
      <c r="N47" s="2370"/>
      <c r="O47" s="2370"/>
      <c r="P47" s="2370"/>
      <c r="Q47" s="2370"/>
      <c r="R47" s="2370"/>
      <c r="S47" s="2370"/>
      <c r="T47" s="2370"/>
      <c r="U47" s="2370"/>
      <c r="V47" s="2370"/>
      <c r="W47" s="2370"/>
      <c r="X47" s="2370"/>
      <c r="Y47" s="2370"/>
      <c r="Z47" s="2370"/>
      <c r="AA47" s="2370"/>
      <c r="AB47" s="2370"/>
      <c r="AC47" s="2370"/>
      <c r="AD47" s="2370"/>
      <c r="AE47" s="2370"/>
      <c r="AF47" s="2370"/>
      <c r="AG47" s="2370"/>
      <c r="AH47" s="2370"/>
      <c r="AI47" s="2370"/>
      <c r="AJ47" s="2371"/>
      <c r="AK47" s="574"/>
      <c r="AL47" s="574"/>
      <c r="AM47" s="574"/>
      <c r="AN47" s="569"/>
      <c r="AO47" s="593"/>
    </row>
    <row r="48" spans="1:41" s="570" customFormat="1" ht="12.75" customHeight="1">
      <c r="A48" s="574"/>
      <c r="D48" s="574"/>
      <c r="E48" s="2366"/>
      <c r="F48" s="2367"/>
      <c r="G48" s="2367"/>
      <c r="H48" s="2367"/>
      <c r="I48" s="2367"/>
      <c r="J48" s="2367"/>
      <c r="K48" s="2367"/>
      <c r="L48" s="2367"/>
      <c r="M48" s="2367"/>
      <c r="N48" s="2367"/>
      <c r="O48" s="2367"/>
      <c r="P48" s="2367"/>
      <c r="Q48" s="2367"/>
      <c r="R48" s="2367"/>
      <c r="S48" s="2367"/>
      <c r="T48" s="2367"/>
      <c r="U48" s="2367"/>
      <c r="V48" s="2367"/>
      <c r="W48" s="2367"/>
      <c r="X48" s="2367"/>
      <c r="Y48" s="2367"/>
      <c r="Z48" s="2367"/>
      <c r="AA48" s="2367"/>
      <c r="AB48" s="2367"/>
      <c r="AC48" s="2367"/>
      <c r="AD48" s="2367"/>
      <c r="AE48" s="2367"/>
      <c r="AF48" s="2367"/>
      <c r="AG48" s="2367"/>
      <c r="AH48" s="2367"/>
      <c r="AI48" s="2367"/>
      <c r="AJ48" s="236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362" t="s">
        <v>599</v>
      </c>
      <c r="C50" s="2362"/>
      <c r="D50" s="574"/>
      <c r="E50" s="2383" t="s">
        <v>2322</v>
      </c>
      <c r="F50" s="2384"/>
      <c r="G50" s="2384"/>
      <c r="H50" s="2384"/>
      <c r="I50" s="2384"/>
      <c r="J50" s="2384"/>
      <c r="K50" s="2384"/>
      <c r="L50" s="2384"/>
      <c r="M50" s="2384"/>
      <c r="N50" s="2384"/>
      <c r="O50" s="2384"/>
      <c r="P50" s="2384"/>
      <c r="Q50" s="2384"/>
      <c r="R50" s="2384"/>
      <c r="S50" s="2384"/>
      <c r="T50" s="2384"/>
      <c r="U50" s="2384"/>
      <c r="V50" s="2384"/>
      <c r="W50" s="2384"/>
      <c r="X50" s="2384"/>
      <c r="Y50" s="2384"/>
      <c r="Z50" s="2384"/>
      <c r="AA50" s="2384"/>
      <c r="AB50" s="2384"/>
      <c r="AC50" s="2384"/>
      <c r="AD50" s="2384"/>
      <c r="AE50" s="2384"/>
      <c r="AF50" s="2384"/>
      <c r="AG50" s="2384"/>
      <c r="AH50" s="2384"/>
      <c r="AI50" s="2384"/>
      <c r="AJ50" s="238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362" t="s">
        <v>599</v>
      </c>
      <c r="C52" s="2362"/>
      <c r="D52" s="574"/>
      <c r="E52" s="2363" t="s">
        <v>2323</v>
      </c>
      <c r="F52" s="2364"/>
      <c r="G52" s="2364"/>
      <c r="H52" s="2364"/>
      <c r="I52" s="2364"/>
      <c r="J52" s="2364"/>
      <c r="K52" s="2364"/>
      <c r="L52" s="2364"/>
      <c r="M52" s="2364"/>
      <c r="N52" s="2364"/>
      <c r="O52" s="2364"/>
      <c r="P52" s="2364"/>
      <c r="Q52" s="2364"/>
      <c r="R52" s="2364"/>
      <c r="S52" s="2364"/>
      <c r="T52" s="2364"/>
      <c r="U52" s="2364"/>
      <c r="V52" s="2364"/>
      <c r="W52" s="2364"/>
      <c r="X52" s="2364"/>
      <c r="Y52" s="2364"/>
      <c r="Z52" s="2364"/>
      <c r="AA52" s="2364"/>
      <c r="AB52" s="2364"/>
      <c r="AC52" s="2364"/>
      <c r="AD52" s="2364"/>
      <c r="AE52" s="2364"/>
      <c r="AF52" s="2364"/>
      <c r="AG52" s="2364"/>
      <c r="AH52" s="2364"/>
      <c r="AI52" s="2364"/>
      <c r="AJ52" s="2365"/>
      <c r="AK52" s="574"/>
      <c r="AL52" s="574"/>
      <c r="AM52" s="574"/>
      <c r="AN52" s="569"/>
    </row>
    <row r="53" spans="1:50" s="570" customFormat="1" ht="12.75" customHeight="1">
      <c r="A53" s="574"/>
      <c r="B53" s="581"/>
      <c r="C53" s="581"/>
      <c r="D53" s="581"/>
      <c r="E53" s="2366"/>
      <c r="F53" s="2367"/>
      <c r="G53" s="2367"/>
      <c r="H53" s="2367"/>
      <c r="I53" s="2367"/>
      <c r="J53" s="2367"/>
      <c r="K53" s="2367"/>
      <c r="L53" s="2367"/>
      <c r="M53" s="2367"/>
      <c r="N53" s="2367"/>
      <c r="O53" s="2367"/>
      <c r="P53" s="2367"/>
      <c r="Q53" s="2367"/>
      <c r="R53" s="2367"/>
      <c r="S53" s="2367"/>
      <c r="T53" s="2367"/>
      <c r="U53" s="2367"/>
      <c r="V53" s="2367"/>
      <c r="W53" s="2367"/>
      <c r="X53" s="2367"/>
      <c r="Y53" s="2367"/>
      <c r="Z53" s="2367"/>
      <c r="AA53" s="2367"/>
      <c r="AB53" s="2367"/>
      <c r="AC53" s="2367"/>
      <c r="AD53" s="2367"/>
      <c r="AE53" s="2367"/>
      <c r="AF53" s="2367"/>
      <c r="AG53" s="2367"/>
      <c r="AH53" s="2367"/>
      <c r="AI53" s="2367"/>
      <c r="AJ53" s="236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392">
        <f>AO36</f>
        <v>0</v>
      </c>
      <c r="AL56" s="2393"/>
      <c r="AM56" s="2394"/>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2372" t="s">
        <v>1422</v>
      </c>
      <c r="AF59" s="2372"/>
      <c r="AG59" s="2372"/>
      <c r="AH59" s="2372"/>
      <c r="AI59" s="2372"/>
      <c r="AJ59" s="2372"/>
      <c r="AK59" s="2372"/>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362" t="s">
        <v>599</v>
      </c>
      <c r="C62" s="2362"/>
      <c r="D62" s="581" t="s">
        <v>1423</v>
      </c>
      <c r="E62" s="2373" t="s">
        <v>2324</v>
      </c>
      <c r="F62" s="2374"/>
      <c r="G62" s="2374"/>
      <c r="H62" s="2374"/>
      <c r="I62" s="2374"/>
      <c r="J62" s="2374"/>
      <c r="K62" s="2374"/>
      <c r="L62" s="2374"/>
      <c r="M62" s="2374"/>
      <c r="N62" s="2374"/>
      <c r="O62" s="2374"/>
      <c r="P62" s="2374"/>
      <c r="Q62" s="2374"/>
      <c r="R62" s="2374"/>
      <c r="S62" s="2374"/>
      <c r="T62" s="2374"/>
      <c r="U62" s="2374"/>
      <c r="V62" s="2374"/>
      <c r="W62" s="2374"/>
      <c r="X62" s="2374"/>
      <c r="Y62" s="2374"/>
      <c r="Z62" s="2374"/>
      <c r="AA62" s="2374"/>
      <c r="AB62" s="2374"/>
      <c r="AC62" s="2374"/>
      <c r="AD62" s="2374"/>
      <c r="AE62" s="2374"/>
      <c r="AF62" s="2374"/>
      <c r="AG62" s="2374"/>
      <c r="AH62" s="2374"/>
      <c r="AI62" s="2374"/>
      <c r="AJ62" s="2375"/>
      <c r="AK62" s="577"/>
      <c r="AL62" s="574"/>
      <c r="AM62" s="574"/>
      <c r="AN62" s="569"/>
      <c r="AO62" s="584">
        <f>IF($B62="yes",10,0)</f>
        <v>0</v>
      </c>
    </row>
    <row r="63" spans="1:50" s="570" customFormat="1" ht="12.75" customHeight="1">
      <c r="A63" s="572"/>
      <c r="B63" s="574"/>
      <c r="C63" s="574"/>
      <c r="D63" s="585"/>
      <c r="E63" s="2376"/>
      <c r="F63" s="2377"/>
      <c r="G63" s="2377"/>
      <c r="H63" s="2377"/>
      <c r="I63" s="2377"/>
      <c r="J63" s="2377"/>
      <c r="K63" s="2377"/>
      <c r="L63" s="2377"/>
      <c r="M63" s="2377"/>
      <c r="N63" s="2377"/>
      <c r="O63" s="2377"/>
      <c r="P63" s="2377"/>
      <c r="Q63" s="2377"/>
      <c r="R63" s="2377"/>
      <c r="S63" s="2377"/>
      <c r="T63" s="2377"/>
      <c r="U63" s="2377"/>
      <c r="V63" s="2377"/>
      <c r="W63" s="2377"/>
      <c r="X63" s="2377"/>
      <c r="Y63" s="2377"/>
      <c r="Z63" s="2377"/>
      <c r="AA63" s="2377"/>
      <c r="AB63" s="2377"/>
      <c r="AC63" s="2377"/>
      <c r="AD63" s="2377"/>
      <c r="AE63" s="2377"/>
      <c r="AF63" s="2377"/>
      <c r="AG63" s="2377"/>
      <c r="AH63" s="2377"/>
      <c r="AI63" s="2377"/>
      <c r="AJ63" s="2378"/>
      <c r="AK63" s="577"/>
      <c r="AL63" s="574"/>
      <c r="AM63" s="574"/>
      <c r="AN63" s="569"/>
      <c r="AO63" s="584">
        <f>IF($B68="yes",10,0)</f>
        <v>10</v>
      </c>
    </row>
    <row r="64" spans="1:50" s="570" customFormat="1" ht="12.75" customHeight="1">
      <c r="A64" s="572"/>
      <c r="B64" s="574"/>
      <c r="C64" s="574"/>
      <c r="D64" s="585"/>
      <c r="E64" s="2376"/>
      <c r="F64" s="2377"/>
      <c r="G64" s="2377"/>
      <c r="H64" s="2377"/>
      <c r="I64" s="2377"/>
      <c r="J64" s="2377"/>
      <c r="K64" s="2377"/>
      <c r="L64" s="2377"/>
      <c r="M64" s="2377"/>
      <c r="N64" s="2377"/>
      <c r="O64" s="2377"/>
      <c r="P64" s="2377"/>
      <c r="Q64" s="2377"/>
      <c r="R64" s="2377"/>
      <c r="S64" s="2377"/>
      <c r="T64" s="2377"/>
      <c r="U64" s="2377"/>
      <c r="V64" s="2377"/>
      <c r="W64" s="2377"/>
      <c r="X64" s="2377"/>
      <c r="Y64" s="2377"/>
      <c r="Z64" s="2377"/>
      <c r="AA64" s="2377"/>
      <c r="AB64" s="2377"/>
      <c r="AC64" s="2377"/>
      <c r="AD64" s="2377"/>
      <c r="AE64" s="2377"/>
      <c r="AF64" s="2377"/>
      <c r="AG64" s="2377"/>
      <c r="AH64" s="2377"/>
      <c r="AI64" s="2377"/>
      <c r="AJ64" s="2378"/>
      <c r="AK64" s="577"/>
      <c r="AL64" s="574"/>
      <c r="AM64" s="574"/>
      <c r="AN64" s="569"/>
      <c r="AO64" s="584">
        <f>IF($B75="yes",10,0)</f>
        <v>0</v>
      </c>
    </row>
    <row r="65" spans="1:42" s="570" customFormat="1" ht="12.75" customHeight="1">
      <c r="A65" s="572"/>
      <c r="B65" s="574"/>
      <c r="C65" s="574"/>
      <c r="D65" s="585"/>
      <c r="E65" s="2376"/>
      <c r="F65" s="2377"/>
      <c r="G65" s="2377"/>
      <c r="H65" s="2377"/>
      <c r="I65" s="2377"/>
      <c r="J65" s="2377"/>
      <c r="K65" s="2377"/>
      <c r="L65" s="2377"/>
      <c r="M65" s="2377"/>
      <c r="N65" s="2377"/>
      <c r="O65" s="2377"/>
      <c r="P65" s="2377"/>
      <c r="Q65" s="2377"/>
      <c r="R65" s="2377"/>
      <c r="S65" s="2377"/>
      <c r="T65" s="2377"/>
      <c r="U65" s="2377"/>
      <c r="V65" s="2377"/>
      <c r="W65" s="2377"/>
      <c r="X65" s="2377"/>
      <c r="Y65" s="2377"/>
      <c r="Z65" s="2377"/>
      <c r="AA65" s="2377"/>
      <c r="AB65" s="2377"/>
      <c r="AC65" s="2377"/>
      <c r="AD65" s="2377"/>
      <c r="AE65" s="2377"/>
      <c r="AF65" s="2377"/>
      <c r="AG65" s="2377"/>
      <c r="AH65" s="2377"/>
      <c r="AI65" s="2377"/>
      <c r="AJ65" s="2378"/>
      <c r="AK65" s="577"/>
      <c r="AL65" s="574"/>
      <c r="AM65" s="574"/>
      <c r="AN65" s="569"/>
      <c r="AO65" s="570">
        <f>IF(SUM(AO62:AO64)&gt;10,10,(SUM(AO62:AO64)))</f>
        <v>10</v>
      </c>
      <c r="AP65" s="608" t="s">
        <v>1424</v>
      </c>
    </row>
    <row r="66" spans="1:42" s="570" customFormat="1" ht="12.75" customHeight="1">
      <c r="A66" s="572"/>
      <c r="B66" s="574"/>
      <c r="C66" s="574"/>
      <c r="D66" s="585"/>
      <c r="E66" s="2379"/>
      <c r="F66" s="2380"/>
      <c r="G66" s="2380"/>
      <c r="H66" s="2380"/>
      <c r="I66" s="2380"/>
      <c r="J66" s="2380"/>
      <c r="K66" s="2380"/>
      <c r="L66" s="2380"/>
      <c r="M66" s="2380"/>
      <c r="N66" s="2380"/>
      <c r="O66" s="2380"/>
      <c r="P66" s="2380"/>
      <c r="Q66" s="2380"/>
      <c r="R66" s="2380"/>
      <c r="S66" s="2380"/>
      <c r="T66" s="2380"/>
      <c r="U66" s="2380"/>
      <c r="V66" s="2380"/>
      <c r="W66" s="2380"/>
      <c r="X66" s="2380"/>
      <c r="Y66" s="2380"/>
      <c r="Z66" s="2380"/>
      <c r="AA66" s="2380"/>
      <c r="AB66" s="2380"/>
      <c r="AC66" s="2380"/>
      <c r="AD66" s="2380"/>
      <c r="AE66" s="2380"/>
      <c r="AF66" s="2380"/>
      <c r="AG66" s="2380"/>
      <c r="AH66" s="2380"/>
      <c r="AI66" s="2380"/>
      <c r="AJ66" s="238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362" t="s">
        <v>553</v>
      </c>
      <c r="C68" s="2362"/>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382" t="s">
        <v>599</v>
      </c>
      <c r="F69" s="2362"/>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360" t="s">
        <v>553</v>
      </c>
      <c r="F70" s="2361"/>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360" t="s">
        <v>599</v>
      </c>
      <c r="F71" s="2361"/>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382" t="s">
        <v>599</v>
      </c>
      <c r="F73" s="2362"/>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362" t="s">
        <v>599</v>
      </c>
      <c r="C75" s="2362"/>
      <c r="D75" s="581" t="s">
        <v>1428</v>
      </c>
      <c r="E75" s="2363" t="s">
        <v>1927</v>
      </c>
      <c r="F75" s="2364"/>
      <c r="G75" s="2364"/>
      <c r="H75" s="2364"/>
      <c r="I75" s="2364"/>
      <c r="J75" s="2364"/>
      <c r="K75" s="2364"/>
      <c r="L75" s="2364"/>
      <c r="M75" s="2364"/>
      <c r="N75" s="2364"/>
      <c r="O75" s="2364"/>
      <c r="P75" s="2364"/>
      <c r="Q75" s="2364"/>
      <c r="R75" s="2364"/>
      <c r="S75" s="2364"/>
      <c r="T75" s="2364"/>
      <c r="U75" s="2364"/>
      <c r="V75" s="2364"/>
      <c r="W75" s="2364"/>
      <c r="X75" s="2364"/>
      <c r="Y75" s="2364"/>
      <c r="Z75" s="2364"/>
      <c r="AA75" s="2364"/>
      <c r="AB75" s="2364"/>
      <c r="AC75" s="2364"/>
      <c r="AD75" s="2364"/>
      <c r="AE75" s="2364"/>
      <c r="AF75" s="2364"/>
      <c r="AG75" s="2364"/>
      <c r="AH75" s="2364"/>
      <c r="AI75" s="2364"/>
      <c r="AJ75" s="2365"/>
      <c r="AK75" s="577"/>
      <c r="AL75" s="574"/>
      <c r="AM75" s="574"/>
      <c r="AN75" s="569"/>
    </row>
    <row r="76" spans="1:42" s="570" customFormat="1" ht="12.75" customHeight="1">
      <c r="A76" s="572"/>
      <c r="B76" s="574"/>
      <c r="C76" s="574"/>
      <c r="D76" s="584"/>
      <c r="E76" s="2366"/>
      <c r="F76" s="2367"/>
      <c r="G76" s="2367"/>
      <c r="H76" s="2367"/>
      <c r="I76" s="2367"/>
      <c r="J76" s="2367"/>
      <c r="K76" s="2367"/>
      <c r="L76" s="2367"/>
      <c r="M76" s="2367"/>
      <c r="N76" s="2367"/>
      <c r="O76" s="2367"/>
      <c r="P76" s="2367"/>
      <c r="Q76" s="2367"/>
      <c r="R76" s="2367"/>
      <c r="S76" s="2367"/>
      <c r="T76" s="2367"/>
      <c r="U76" s="2367"/>
      <c r="V76" s="2367"/>
      <c r="W76" s="2367"/>
      <c r="X76" s="2367"/>
      <c r="Y76" s="2367"/>
      <c r="Z76" s="2367"/>
      <c r="AA76" s="2367"/>
      <c r="AB76" s="2367"/>
      <c r="AC76" s="2367"/>
      <c r="AD76" s="2367"/>
      <c r="AE76" s="2367"/>
      <c r="AF76" s="2367"/>
      <c r="AG76" s="2367"/>
      <c r="AH76" s="2367"/>
      <c r="AI76" s="2367"/>
      <c r="AJ76" s="236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392">
        <f>IF(AK56&gt;0,0,AO65)</f>
        <v>10</v>
      </c>
      <c r="AL78" s="2393"/>
      <c r="AM78" s="2394"/>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2372" t="s">
        <v>1413</v>
      </c>
      <c r="AF81" s="2372"/>
      <c r="AG81" s="2372"/>
      <c r="AH81" s="2372"/>
      <c r="AI81" s="2372"/>
      <c r="AJ81" s="2372"/>
      <c r="AK81" s="2372"/>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362" t="s">
        <v>599</v>
      </c>
      <c r="C84" s="2362"/>
      <c r="D84" s="581" t="s">
        <v>1423</v>
      </c>
      <c r="E84" s="2373" t="s">
        <v>1433</v>
      </c>
      <c r="F84" s="2374"/>
      <c r="G84" s="2374"/>
      <c r="H84" s="2374"/>
      <c r="I84" s="2374"/>
      <c r="J84" s="2374"/>
      <c r="K84" s="2374"/>
      <c r="L84" s="2374"/>
      <c r="M84" s="2374"/>
      <c r="N84" s="2374"/>
      <c r="O84" s="2374"/>
      <c r="P84" s="2374"/>
      <c r="Q84" s="2374"/>
      <c r="R84" s="2374"/>
      <c r="S84" s="2374"/>
      <c r="T84" s="2374"/>
      <c r="U84" s="2374"/>
      <c r="V84" s="2374"/>
      <c r="W84" s="2374"/>
      <c r="X84" s="2374"/>
      <c r="Y84" s="2374"/>
      <c r="Z84" s="2374"/>
      <c r="AA84" s="2374"/>
      <c r="AB84" s="2374"/>
      <c r="AC84" s="2374"/>
      <c r="AD84" s="2374"/>
      <c r="AE84" s="2374"/>
      <c r="AF84" s="2374"/>
      <c r="AG84" s="2374"/>
      <c r="AH84" s="2374"/>
      <c r="AI84" s="2374"/>
      <c r="AJ84" s="2375"/>
      <c r="AK84" s="577"/>
      <c r="AL84" s="574"/>
      <c r="AM84" s="574"/>
      <c r="AN84" s="569"/>
    </row>
    <row r="85" spans="1:43" s="570" customFormat="1" ht="12.75" customHeight="1">
      <c r="A85" s="572"/>
      <c r="B85" s="573"/>
      <c r="C85" s="573"/>
      <c r="D85" s="573"/>
      <c r="E85" s="2376"/>
      <c r="F85" s="2377"/>
      <c r="G85" s="2377"/>
      <c r="H85" s="2377"/>
      <c r="I85" s="2377"/>
      <c r="J85" s="2377"/>
      <c r="K85" s="2377"/>
      <c r="L85" s="2377"/>
      <c r="M85" s="2377"/>
      <c r="N85" s="2377"/>
      <c r="O85" s="2377"/>
      <c r="P85" s="2377"/>
      <c r="Q85" s="2377"/>
      <c r="R85" s="2377"/>
      <c r="S85" s="2377"/>
      <c r="T85" s="2377"/>
      <c r="U85" s="2377"/>
      <c r="V85" s="2377"/>
      <c r="W85" s="2377"/>
      <c r="X85" s="2377"/>
      <c r="Y85" s="2377"/>
      <c r="Z85" s="2377"/>
      <c r="AA85" s="2377"/>
      <c r="AB85" s="2377"/>
      <c r="AC85" s="2377"/>
      <c r="AD85" s="2377"/>
      <c r="AE85" s="2377"/>
      <c r="AF85" s="2377"/>
      <c r="AG85" s="2377"/>
      <c r="AH85" s="2377"/>
      <c r="AI85" s="2377"/>
      <c r="AJ85" s="237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356">
        <f>Application!AC753</f>
        <v>0.56767676767676767</v>
      </c>
      <c r="F87" s="2357"/>
      <c r="G87" s="2357"/>
      <c r="H87" s="2357"/>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358">
        <f>0.6-ROUNDUP(E87,2)</f>
        <v>2.9999999999999916E-2</v>
      </c>
      <c r="F88" s="2359"/>
      <c r="G88" s="2359"/>
      <c r="H88" s="2359"/>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386">
        <f>IF(E88*200&gt;20,20,E88*200)</f>
        <v>5.9999999999999831</v>
      </c>
      <c r="F89" s="2387"/>
      <c r="G89" s="2387"/>
      <c r="H89" s="2387"/>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362" t="s">
        <v>553</v>
      </c>
      <c r="C92" s="2362"/>
      <c r="D92" s="581" t="s">
        <v>1425</v>
      </c>
      <c r="E92" s="2373" t="s">
        <v>1912</v>
      </c>
      <c r="F92" s="2374"/>
      <c r="G92" s="2374"/>
      <c r="H92" s="2374"/>
      <c r="I92" s="2374"/>
      <c r="J92" s="2374"/>
      <c r="K92" s="2374"/>
      <c r="L92" s="2374"/>
      <c r="M92" s="2374"/>
      <c r="N92" s="2374"/>
      <c r="O92" s="2374"/>
      <c r="P92" s="2374"/>
      <c r="Q92" s="2374"/>
      <c r="R92" s="2374"/>
      <c r="S92" s="2374"/>
      <c r="T92" s="2374"/>
      <c r="U92" s="2374"/>
      <c r="V92" s="2374"/>
      <c r="W92" s="2374"/>
      <c r="X92" s="2374"/>
      <c r="Y92" s="2374"/>
      <c r="Z92" s="2374"/>
      <c r="AA92" s="2374"/>
      <c r="AB92" s="2374"/>
      <c r="AC92" s="2374"/>
      <c r="AD92" s="2374"/>
      <c r="AE92" s="2374"/>
      <c r="AF92" s="2374"/>
      <c r="AG92" s="2374"/>
      <c r="AH92" s="2374"/>
      <c r="AI92" s="2374"/>
      <c r="AJ92" s="2375"/>
      <c r="AK92" s="577"/>
      <c r="AL92" s="574"/>
      <c r="AM92" s="574"/>
      <c r="AN92" s="569"/>
    </row>
    <row r="93" spans="1:43" s="570" customFormat="1" ht="12.75" customHeight="1">
      <c r="A93" s="572"/>
      <c r="B93" s="573"/>
      <c r="C93" s="573"/>
      <c r="D93" s="573"/>
      <c r="E93" s="2376"/>
      <c r="F93" s="2377"/>
      <c r="G93" s="2377"/>
      <c r="H93" s="2377"/>
      <c r="I93" s="2377"/>
      <c r="J93" s="2377"/>
      <c r="K93" s="2377"/>
      <c r="L93" s="2377"/>
      <c r="M93" s="2377"/>
      <c r="N93" s="2377"/>
      <c r="O93" s="2377"/>
      <c r="P93" s="2377"/>
      <c r="Q93" s="2377"/>
      <c r="R93" s="2377"/>
      <c r="S93" s="2377"/>
      <c r="T93" s="2377"/>
      <c r="U93" s="2377"/>
      <c r="V93" s="2377"/>
      <c r="W93" s="2377"/>
      <c r="X93" s="2377"/>
      <c r="Y93" s="2377"/>
      <c r="Z93" s="2377"/>
      <c r="AA93" s="2377"/>
      <c r="AB93" s="2377"/>
      <c r="AC93" s="2377"/>
      <c r="AD93" s="2377"/>
      <c r="AE93" s="2377"/>
      <c r="AF93" s="2377"/>
      <c r="AG93" s="2377"/>
      <c r="AH93" s="2377"/>
      <c r="AI93" s="2377"/>
      <c r="AJ93" s="2378"/>
      <c r="AK93" s="577"/>
      <c r="AL93" s="574"/>
      <c r="AM93" s="574"/>
      <c r="AN93" s="569"/>
    </row>
    <row r="94" spans="1:43" s="570" customFormat="1" ht="12.75" customHeight="1">
      <c r="A94" s="572"/>
      <c r="B94" s="573"/>
      <c r="C94" s="573"/>
      <c r="D94" s="573"/>
      <c r="E94" s="2376"/>
      <c r="F94" s="2377"/>
      <c r="G94" s="2377"/>
      <c r="H94" s="2377"/>
      <c r="I94" s="2377"/>
      <c r="J94" s="2377"/>
      <c r="K94" s="2377"/>
      <c r="L94" s="2377"/>
      <c r="M94" s="2377"/>
      <c r="N94" s="2377"/>
      <c r="O94" s="2377"/>
      <c r="P94" s="2377"/>
      <c r="Q94" s="2377"/>
      <c r="R94" s="2377"/>
      <c r="S94" s="2377"/>
      <c r="T94" s="2377"/>
      <c r="U94" s="2377"/>
      <c r="V94" s="2377"/>
      <c r="W94" s="2377"/>
      <c r="X94" s="2377"/>
      <c r="Y94" s="2377"/>
      <c r="Z94" s="2377"/>
      <c r="AA94" s="2377"/>
      <c r="AB94" s="2377"/>
      <c r="AC94" s="2377"/>
      <c r="AD94" s="2377"/>
      <c r="AE94" s="2377"/>
      <c r="AF94" s="2377"/>
      <c r="AG94" s="2377"/>
      <c r="AH94" s="2377"/>
      <c r="AI94" s="2377"/>
      <c r="AJ94" s="2378"/>
      <c r="AK94" s="577"/>
      <c r="AL94" s="574"/>
      <c r="AM94" s="574"/>
      <c r="AN94" s="569"/>
    </row>
    <row r="95" spans="1:43" s="570" customFormat="1" ht="12.75" customHeight="1">
      <c r="A95" s="572"/>
      <c r="B95" s="573"/>
      <c r="C95" s="573"/>
      <c r="D95" s="573"/>
      <c r="E95" s="2376"/>
      <c r="F95" s="2377"/>
      <c r="G95" s="2377"/>
      <c r="H95" s="2377"/>
      <c r="I95" s="2377"/>
      <c r="J95" s="2377"/>
      <c r="K95" s="2377"/>
      <c r="L95" s="2377"/>
      <c r="M95" s="2377"/>
      <c r="N95" s="2377"/>
      <c r="O95" s="2377"/>
      <c r="P95" s="2377"/>
      <c r="Q95" s="2377"/>
      <c r="R95" s="2377"/>
      <c r="S95" s="2377"/>
      <c r="T95" s="2377"/>
      <c r="U95" s="2377"/>
      <c r="V95" s="2377"/>
      <c r="W95" s="2377"/>
      <c r="X95" s="2377"/>
      <c r="Y95" s="2377"/>
      <c r="Z95" s="2377"/>
      <c r="AA95" s="2377"/>
      <c r="AB95" s="2377"/>
      <c r="AC95" s="2377"/>
      <c r="AD95" s="2377"/>
      <c r="AE95" s="2377"/>
      <c r="AF95" s="2377"/>
      <c r="AG95" s="2377"/>
      <c r="AH95" s="2377"/>
      <c r="AI95" s="2377"/>
      <c r="AJ95" s="237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356">
        <f>Application!AC753</f>
        <v>0.56767676767676767</v>
      </c>
      <c r="F97" s="2357"/>
      <c r="G97" s="2357"/>
      <c r="H97" s="2357"/>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356">
        <f ca="1">SUMIF(Application!AC718:AG752,0.2,Application!G718:J752)/Application!G753+SUMIF(Application!AC718:AG752,0.25,Application!G718:J752)/Application!G753+SUMIF(Application!AC718:AG752,0.3,Application!G718:J752)/Application!G753</f>
        <v>0.22222222222222221</v>
      </c>
      <c r="F98" s="2357"/>
      <c r="G98" s="2357"/>
      <c r="H98" s="2357"/>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356">
        <f ca="1">SUMIF(Application!AC718:AG752,0.35,Application!G718:J752)/Application!G753+SUMIF(Application!AC718:AG752,0.4,Application!G718:J752)/Application!G753+SUMIF(Application!AC718:AG752,0.45,Application!G718:J752)/Application!G753+SUMIF(Application!AC718:AG752,0.5,Application!G718:J752)/Application!G753</f>
        <v>0.21212121212121213</v>
      </c>
      <c r="F99" s="2357"/>
      <c r="G99" s="2357"/>
      <c r="H99" s="2357"/>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411">
        <f ca="1">IF(AND(E97&lt;=0.6,OR(AND(E98&gt;=0.1,E99&gt;=0.1),AND(E98&gt;0.1,(E98+E99)&gt;=0.2))),20,0)</f>
        <v>20</v>
      </c>
      <c r="F100" s="2412"/>
      <c r="G100" s="2412"/>
      <c r="H100" s="2412"/>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392">
        <f ca="1">MAX(AP89,AP100)</f>
        <v>20</v>
      </c>
      <c r="AL103" s="2393"/>
      <c r="AM103" s="2394"/>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2372" t="s">
        <v>1422</v>
      </c>
      <c r="AF106" s="2372"/>
      <c r="AG106" s="2372"/>
      <c r="AH106" s="2372"/>
      <c r="AI106" s="2372"/>
      <c r="AJ106" s="2372"/>
      <c r="AK106" s="2372"/>
      <c r="AL106" s="574"/>
      <c r="AM106" s="574"/>
      <c r="AN106" s="569"/>
      <c r="AO106" s="570" t="str">
        <f>Application!B718</f>
        <v>1 Bedroom</v>
      </c>
      <c r="AQ106" s="570">
        <f>Application!O718</f>
        <v>1537</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1537</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918</v>
      </c>
    </row>
    <row r="109" spans="1:49" s="570" customFormat="1" ht="12.75" customHeight="1">
      <c r="A109" s="574"/>
      <c r="B109" s="2362" t="s">
        <v>553</v>
      </c>
      <c r="C109" s="2362"/>
      <c r="D109" s="581" t="s">
        <v>1423</v>
      </c>
      <c r="E109" s="2373" t="s">
        <v>2046</v>
      </c>
      <c r="F109" s="2374"/>
      <c r="G109" s="2374"/>
      <c r="H109" s="2374"/>
      <c r="I109" s="2374"/>
      <c r="J109" s="2374"/>
      <c r="K109" s="2374"/>
      <c r="L109" s="2374"/>
      <c r="M109" s="2374"/>
      <c r="N109" s="2374"/>
      <c r="O109" s="2374"/>
      <c r="P109" s="2374"/>
      <c r="Q109" s="2374"/>
      <c r="R109" s="2374"/>
      <c r="S109" s="2374"/>
      <c r="T109" s="2374"/>
      <c r="U109" s="2374"/>
      <c r="V109" s="2374"/>
      <c r="W109" s="2374"/>
      <c r="X109" s="2374"/>
      <c r="Y109" s="2374"/>
      <c r="Z109" s="2374"/>
      <c r="AA109" s="2374"/>
      <c r="AB109" s="2374"/>
      <c r="AC109" s="2374"/>
      <c r="AD109" s="2374"/>
      <c r="AE109" s="2374"/>
      <c r="AF109" s="2374"/>
      <c r="AG109" s="2374"/>
      <c r="AH109" s="2374"/>
      <c r="AI109" s="2374"/>
      <c r="AJ109" s="2375"/>
      <c r="AK109" s="574"/>
      <c r="AL109" s="574"/>
      <c r="AM109" s="574"/>
      <c r="AN109" s="569"/>
      <c r="AO109" s="570" t="str">
        <f>Application!B721</f>
        <v>2 Bedrooms</v>
      </c>
      <c r="AQ109" s="570">
        <f>Application!O721</f>
        <v>2502</v>
      </c>
      <c r="AU109" s="570" t="s">
        <v>2028</v>
      </c>
      <c r="AV109" s="629" t="s">
        <v>2029</v>
      </c>
      <c r="AW109" s="570" t="s">
        <v>2030</v>
      </c>
    </row>
    <row r="110" spans="1:49" s="570" customFormat="1" ht="12.75" customHeight="1">
      <c r="A110" s="574"/>
      <c r="B110" s="573"/>
      <c r="C110" s="573"/>
      <c r="D110" s="573"/>
      <c r="E110" s="2376"/>
      <c r="F110" s="2377"/>
      <c r="G110" s="2377"/>
      <c r="H110" s="2377"/>
      <c r="I110" s="2377"/>
      <c r="J110" s="2377"/>
      <c r="K110" s="2377"/>
      <c r="L110" s="2377"/>
      <c r="M110" s="2377"/>
      <c r="N110" s="2377"/>
      <c r="O110" s="2377"/>
      <c r="P110" s="2377"/>
      <c r="Q110" s="2377"/>
      <c r="R110" s="2377"/>
      <c r="S110" s="2377"/>
      <c r="T110" s="2377"/>
      <c r="U110" s="2377"/>
      <c r="V110" s="2377"/>
      <c r="W110" s="2377"/>
      <c r="X110" s="2377"/>
      <c r="Y110" s="2377"/>
      <c r="Z110" s="2377"/>
      <c r="AA110" s="2377"/>
      <c r="AB110" s="2377"/>
      <c r="AC110" s="2377"/>
      <c r="AD110" s="2377"/>
      <c r="AE110" s="2377"/>
      <c r="AF110" s="2377"/>
      <c r="AG110" s="2377"/>
      <c r="AH110" s="2377"/>
      <c r="AI110" s="2377"/>
      <c r="AJ110" s="2378"/>
      <c r="AK110" s="574"/>
      <c r="AL110" s="574"/>
      <c r="AM110" s="574"/>
      <c r="AN110" s="569"/>
      <c r="AO110" s="570" t="str">
        <f>Application!B722</f>
        <v>2 Bedrooms</v>
      </c>
      <c r="AQ110" s="570">
        <f>Application!O722</f>
        <v>1900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376"/>
      <c r="F111" s="2377"/>
      <c r="G111" s="2377"/>
      <c r="H111" s="2377"/>
      <c r="I111" s="2377"/>
      <c r="J111" s="2377"/>
      <c r="K111" s="2377"/>
      <c r="L111" s="2377"/>
      <c r="M111" s="2377"/>
      <c r="N111" s="2377"/>
      <c r="O111" s="2377"/>
      <c r="P111" s="2377"/>
      <c r="Q111" s="2377"/>
      <c r="R111" s="2377"/>
      <c r="S111" s="2377"/>
      <c r="T111" s="2377"/>
      <c r="U111" s="2377"/>
      <c r="V111" s="2377"/>
      <c r="W111" s="2377"/>
      <c r="X111" s="2377"/>
      <c r="Y111" s="2377"/>
      <c r="Z111" s="2377"/>
      <c r="AA111" s="2377"/>
      <c r="AB111" s="2377"/>
      <c r="AC111" s="2377"/>
      <c r="AD111" s="2377"/>
      <c r="AE111" s="2377"/>
      <c r="AF111" s="2377"/>
      <c r="AG111" s="2377"/>
      <c r="AH111" s="2377"/>
      <c r="AI111" s="2377"/>
      <c r="AJ111" s="2378"/>
      <c r="AK111" s="574"/>
      <c r="AL111" s="574"/>
      <c r="AM111" s="574"/>
      <c r="AN111" s="569"/>
      <c r="AO111" s="570" t="str">
        <f>Application!B723</f>
        <v>2 Bedrooms</v>
      </c>
      <c r="AQ111" s="570">
        <f>Application!O723</f>
        <v>1085</v>
      </c>
      <c r="AU111" s="890" t="str">
        <f>J118</f>
        <v>1-bedroom</v>
      </c>
      <c r="AV111" s="570">
        <f t="array" ref="AV111">SUM(IF(Application!B718:F752="1 Bedroom",Application!G718:J752))</f>
        <v>21</v>
      </c>
      <c r="AW111" s="1046">
        <f>AV111/AV116</f>
        <v>0.21212121212121213</v>
      </c>
    </row>
    <row r="112" spans="1:49" s="570" customFormat="1" ht="12.75" customHeight="1">
      <c r="A112" s="574"/>
      <c r="B112" s="573"/>
      <c r="C112" s="573"/>
      <c r="D112" s="573"/>
      <c r="E112" s="2376"/>
      <c r="F112" s="2377"/>
      <c r="G112" s="2377"/>
      <c r="H112" s="2377"/>
      <c r="I112" s="2377"/>
      <c r="J112" s="2377"/>
      <c r="K112" s="2377"/>
      <c r="L112" s="2377"/>
      <c r="M112" s="2377"/>
      <c r="N112" s="2377"/>
      <c r="O112" s="2377"/>
      <c r="P112" s="2377"/>
      <c r="Q112" s="2377"/>
      <c r="R112" s="2377"/>
      <c r="S112" s="2377"/>
      <c r="T112" s="2377"/>
      <c r="U112" s="2377"/>
      <c r="V112" s="2377"/>
      <c r="W112" s="2377"/>
      <c r="X112" s="2377"/>
      <c r="Y112" s="2377"/>
      <c r="Z112" s="2377"/>
      <c r="AA112" s="2377"/>
      <c r="AB112" s="2377"/>
      <c r="AC112" s="2377"/>
      <c r="AD112" s="2377"/>
      <c r="AE112" s="2377"/>
      <c r="AF112" s="2377"/>
      <c r="AG112" s="2377"/>
      <c r="AH112" s="2377"/>
      <c r="AI112" s="2377"/>
      <c r="AJ112" s="2378"/>
      <c r="AK112" s="574"/>
      <c r="AL112" s="574"/>
      <c r="AM112" s="574"/>
      <c r="AN112" s="569"/>
      <c r="AO112" s="570" t="str">
        <f>Application!B724</f>
        <v>3 Bedrooms</v>
      </c>
      <c r="AQ112" s="570">
        <f>Application!O724</f>
        <v>2851</v>
      </c>
      <c r="AU112" s="890" t="str">
        <f>O118</f>
        <v>2-bedroom</v>
      </c>
      <c r="AV112" s="570">
        <f t="array" ref="AV112">SUM(IF(Application!B718:F752="2 Bedrooms",Application!G718:J752))</f>
        <v>40</v>
      </c>
      <c r="AW112" s="1046">
        <f>AV112/AV116</f>
        <v>0.40404040404040403</v>
      </c>
    </row>
    <row r="113" spans="1:52" s="570" customFormat="1" ht="12.75" customHeight="1">
      <c r="A113" s="574"/>
      <c r="B113" s="573"/>
      <c r="C113" s="573"/>
      <c r="D113" s="573"/>
      <c r="E113" s="2376"/>
      <c r="F113" s="2377"/>
      <c r="G113" s="2377"/>
      <c r="H113" s="2377"/>
      <c r="I113" s="2377"/>
      <c r="J113" s="2377"/>
      <c r="K113" s="2377"/>
      <c r="L113" s="2377"/>
      <c r="M113" s="2377"/>
      <c r="N113" s="2377"/>
      <c r="O113" s="2377"/>
      <c r="P113" s="2377"/>
      <c r="Q113" s="2377"/>
      <c r="R113" s="2377"/>
      <c r="S113" s="2377"/>
      <c r="T113" s="2377"/>
      <c r="U113" s="2377"/>
      <c r="V113" s="2377"/>
      <c r="W113" s="2377"/>
      <c r="X113" s="2377"/>
      <c r="Y113" s="2377"/>
      <c r="Z113" s="2377"/>
      <c r="AA113" s="2377"/>
      <c r="AB113" s="2377"/>
      <c r="AC113" s="2377"/>
      <c r="AD113" s="2377"/>
      <c r="AE113" s="2377"/>
      <c r="AF113" s="2377"/>
      <c r="AG113" s="2377"/>
      <c r="AH113" s="2377"/>
      <c r="AI113" s="2377"/>
      <c r="AJ113" s="2378"/>
      <c r="AK113" s="574"/>
      <c r="AL113" s="574"/>
      <c r="AM113" s="574"/>
      <c r="AN113" s="569"/>
      <c r="AO113" s="570" t="str">
        <f>Application!B725</f>
        <v>3 Bedrooms</v>
      </c>
      <c r="AQ113" s="570">
        <f>Application!O725</f>
        <v>2177</v>
      </c>
      <c r="AU113" s="890" t="str">
        <f>T118</f>
        <v>3-bedroom</v>
      </c>
      <c r="AV113" s="570">
        <f t="array" ref="AV113">SUM(IF(Application!B718:F752="3 Bedrooms",Application!G718:J752))</f>
        <v>38</v>
      </c>
      <c r="AW113" s="1046">
        <f>AV113/AV116</f>
        <v>0.38383838383838381</v>
      </c>
    </row>
    <row r="114" spans="1:52" s="570" customFormat="1" ht="12.75" customHeight="1">
      <c r="A114" s="574"/>
      <c r="B114" s="573"/>
      <c r="C114" s="573"/>
      <c r="D114" s="573"/>
      <c r="E114" s="2376"/>
      <c r="F114" s="2377"/>
      <c r="G114" s="2377"/>
      <c r="H114" s="2377"/>
      <c r="I114" s="2377"/>
      <c r="J114" s="2377"/>
      <c r="K114" s="2377"/>
      <c r="L114" s="2377"/>
      <c r="M114" s="2377"/>
      <c r="N114" s="2377"/>
      <c r="O114" s="2377"/>
      <c r="P114" s="2377"/>
      <c r="Q114" s="2377"/>
      <c r="R114" s="2377"/>
      <c r="S114" s="2377"/>
      <c r="T114" s="2377"/>
      <c r="U114" s="2377"/>
      <c r="V114" s="2377"/>
      <c r="W114" s="2377"/>
      <c r="X114" s="2377"/>
      <c r="Y114" s="2377"/>
      <c r="Z114" s="2377"/>
      <c r="AA114" s="2377"/>
      <c r="AB114" s="2377"/>
      <c r="AC114" s="2377"/>
      <c r="AD114" s="2377"/>
      <c r="AE114" s="2377"/>
      <c r="AF114" s="2377"/>
      <c r="AG114" s="2377"/>
      <c r="AH114" s="2377"/>
      <c r="AI114" s="2377"/>
      <c r="AJ114" s="2378"/>
      <c r="AK114" s="574"/>
      <c r="AL114" s="574"/>
      <c r="AM114" s="574"/>
      <c r="AN114" s="569"/>
      <c r="AO114" s="570" t="str">
        <f>Application!B726</f>
        <v>3 Bedrooms</v>
      </c>
      <c r="AQ114" s="570">
        <f>Application!O726</f>
        <v>2177</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376"/>
      <c r="F115" s="2377"/>
      <c r="G115" s="2377"/>
      <c r="H115" s="2377"/>
      <c r="I115" s="2377"/>
      <c r="J115" s="2377"/>
      <c r="K115" s="2377"/>
      <c r="L115" s="2377"/>
      <c r="M115" s="2377"/>
      <c r="N115" s="2377"/>
      <c r="O115" s="2377"/>
      <c r="P115" s="2377"/>
      <c r="Q115" s="2377"/>
      <c r="R115" s="2377"/>
      <c r="S115" s="2377"/>
      <c r="T115" s="2377"/>
      <c r="U115" s="2377"/>
      <c r="V115" s="2377"/>
      <c r="W115" s="2377"/>
      <c r="X115" s="2377"/>
      <c r="Y115" s="2377"/>
      <c r="Z115" s="2377"/>
      <c r="AA115" s="2377"/>
      <c r="AB115" s="2377"/>
      <c r="AC115" s="2377"/>
      <c r="AD115" s="2377"/>
      <c r="AE115" s="2377"/>
      <c r="AF115" s="2377"/>
      <c r="AG115" s="2377"/>
      <c r="AH115" s="2377"/>
      <c r="AI115" s="2377"/>
      <c r="AJ115" s="2378"/>
      <c r="AK115" s="574"/>
      <c r="AL115" s="574"/>
      <c r="AM115" s="574"/>
      <c r="AN115" s="569"/>
      <c r="AO115" s="570" t="str">
        <f>Application!B727</f>
        <v>3 Bedrooms</v>
      </c>
      <c r="AQ115" s="570">
        <f>Application!O727</f>
        <v>1235</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376"/>
      <c r="F116" s="2377"/>
      <c r="G116" s="2377"/>
      <c r="H116" s="2377"/>
      <c r="I116" s="2377"/>
      <c r="J116" s="2377"/>
      <c r="K116" s="2377"/>
      <c r="L116" s="2377"/>
      <c r="M116" s="2377"/>
      <c r="N116" s="2377"/>
      <c r="O116" s="2377"/>
      <c r="P116" s="2377"/>
      <c r="Q116" s="2377"/>
      <c r="R116" s="2377"/>
      <c r="S116" s="2377"/>
      <c r="T116" s="2377"/>
      <c r="U116" s="2377"/>
      <c r="V116" s="2377"/>
      <c r="W116" s="2377"/>
      <c r="X116" s="2377"/>
      <c r="Y116" s="2377"/>
      <c r="Z116" s="2377"/>
      <c r="AA116" s="2377"/>
      <c r="AB116" s="2377"/>
      <c r="AC116" s="2377"/>
      <c r="AD116" s="2377"/>
      <c r="AE116" s="2377"/>
      <c r="AF116" s="2377"/>
      <c r="AG116" s="2377"/>
      <c r="AH116" s="2377"/>
      <c r="AI116" s="2377"/>
      <c r="AJ116" s="2378"/>
      <c r="AK116" s="574"/>
      <c r="AL116" s="574"/>
      <c r="AM116" s="574"/>
      <c r="AN116" s="569"/>
      <c r="AO116" s="570">
        <f>Application!B728</f>
        <v>0</v>
      </c>
      <c r="AQ116" s="570">
        <f>Application!O728</f>
        <v>0</v>
      </c>
      <c r="AV116" s="570">
        <f>SUM(AV110:AV115)</f>
        <v>99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356" t="s">
        <v>1697</v>
      </c>
      <c r="F118" s="2357"/>
      <c r="G118" s="2357"/>
      <c r="H118" s="2357"/>
      <c r="I118" s="611"/>
      <c r="J118" s="2357" t="s">
        <v>1741</v>
      </c>
      <c r="K118" s="2357"/>
      <c r="L118" s="2357"/>
      <c r="M118" s="2357"/>
      <c r="N118" s="611"/>
      <c r="O118" s="2357" t="s">
        <v>1742</v>
      </c>
      <c r="P118" s="2357"/>
      <c r="Q118" s="2357"/>
      <c r="R118" s="2357"/>
      <c r="S118" s="611"/>
      <c r="T118" s="2357" t="s">
        <v>1442</v>
      </c>
      <c r="U118" s="2357"/>
      <c r="V118" s="2357"/>
      <c r="W118" s="2357"/>
      <c r="X118" s="611"/>
      <c r="Y118" s="2357" t="s">
        <v>1743</v>
      </c>
      <c r="Z118" s="2357"/>
      <c r="AA118" s="2357"/>
      <c r="AB118" s="2357"/>
      <c r="AC118" s="611"/>
      <c r="AD118" s="2357" t="s">
        <v>1744</v>
      </c>
      <c r="AE118" s="2357"/>
      <c r="AF118" s="2357"/>
      <c r="AG118" s="2357"/>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413"/>
      <c r="F121" s="2414"/>
      <c r="G121" s="2414"/>
      <c r="H121" s="2414"/>
      <c r="I121" s="898"/>
      <c r="J121" s="2414">
        <v>2807</v>
      </c>
      <c r="K121" s="2414"/>
      <c r="L121" s="2414"/>
      <c r="M121" s="2414"/>
      <c r="N121" s="898"/>
      <c r="O121" s="2414">
        <v>3550</v>
      </c>
      <c r="P121" s="2414"/>
      <c r="Q121" s="2414"/>
      <c r="R121" s="2414"/>
      <c r="S121" s="898"/>
      <c r="T121" s="2414">
        <v>4265</v>
      </c>
      <c r="U121" s="2414"/>
      <c r="V121" s="2414"/>
      <c r="W121" s="2414"/>
      <c r="X121" s="898"/>
      <c r="Y121" s="2414"/>
      <c r="Z121" s="2414"/>
      <c r="AA121" s="2414"/>
      <c r="AB121" s="2414"/>
      <c r="AC121" s="898"/>
      <c r="AD121" s="2414"/>
      <c r="AE121" s="2414"/>
      <c r="AF121" s="2414"/>
      <c r="AG121" s="2414"/>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406">
        <f>Application!DX670</f>
        <v>0</v>
      </c>
      <c r="F124" s="2407"/>
      <c r="G124" s="2407"/>
      <c r="H124" s="2407"/>
      <c r="I124" s="898"/>
      <c r="J124" s="2407">
        <f>Application!EC670</f>
        <v>1242.238095238095</v>
      </c>
      <c r="K124" s="2407"/>
      <c r="L124" s="2407"/>
      <c r="M124" s="2407"/>
      <c r="N124" s="898"/>
      <c r="O124" s="2407">
        <f>Application!EH670</f>
        <v>2113.25</v>
      </c>
      <c r="P124" s="2407"/>
      <c r="Q124" s="2407"/>
      <c r="R124" s="2407"/>
      <c r="S124" s="902"/>
      <c r="T124" s="2407">
        <f>Application!EM670</f>
        <v>2609.9473684210525</v>
      </c>
      <c r="U124" s="2407"/>
      <c r="V124" s="2407"/>
      <c r="W124" s="2407"/>
      <c r="X124" s="902"/>
      <c r="Y124" s="2407">
        <f>Application!ER670</f>
        <v>0</v>
      </c>
      <c r="Z124" s="2407"/>
      <c r="AA124" s="2407"/>
      <c r="AB124" s="2407"/>
      <c r="AC124" s="902"/>
      <c r="AD124" s="2407">
        <f>Application!EW670</f>
        <v>0</v>
      </c>
      <c r="AE124" s="2407"/>
      <c r="AF124" s="2407"/>
      <c r="AG124" s="2407"/>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604" t="e">
        <f>(E121-E124)/E121</f>
        <v>#DIV/0!</v>
      </c>
      <c r="F127" s="2359"/>
      <c r="G127" s="2359"/>
      <c r="H127" s="2605"/>
      <c r="I127" s="611"/>
      <c r="J127" s="2604">
        <f>(J121-J124)/J121</f>
        <v>0.55744991263338262</v>
      </c>
      <c r="K127" s="2359"/>
      <c r="L127" s="2359"/>
      <c r="M127" s="2605"/>
      <c r="N127" s="611"/>
      <c r="O127" s="2604">
        <f>(O121-O124)/O121</f>
        <v>0.40471830985915491</v>
      </c>
      <c r="P127" s="2359"/>
      <c r="Q127" s="2359"/>
      <c r="R127" s="2605"/>
      <c r="S127" s="611"/>
      <c r="T127" s="2604">
        <f>(T121-T124)/T121</f>
        <v>0.38805454433269576</v>
      </c>
      <c r="U127" s="2359"/>
      <c r="V127" s="2359"/>
      <c r="W127" s="2605"/>
      <c r="X127" s="611"/>
      <c r="Y127" s="2604" t="e">
        <f>(Y121-Y124)/Y121</f>
        <v>#DIV/0!</v>
      </c>
      <c r="Z127" s="2359"/>
      <c r="AA127" s="2359"/>
      <c r="AB127" s="2605"/>
      <c r="AC127" s="611"/>
      <c r="AD127" s="2604" t="e">
        <f>(AD121-AD124)/AD121</f>
        <v>#DIV/0!</v>
      </c>
      <c r="AE127" s="2359"/>
      <c r="AF127" s="2359"/>
      <c r="AG127" s="260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408" t="e">
        <f>IF(((E127-0.1)*AW110)&gt;0,((E127-0.1)*AW110),0)</f>
        <v>#DIV/0!</v>
      </c>
      <c r="F130" s="2409"/>
      <c r="G130" s="2409"/>
      <c r="H130" s="2410"/>
      <c r="I130" s="611"/>
      <c r="J130" s="2408">
        <f>IF(((J127-0.1)*AW111)&gt;0,((J127-0.1)*AW111),0)</f>
        <v>9.703482995253572E-2</v>
      </c>
      <c r="K130" s="2409"/>
      <c r="L130" s="2409"/>
      <c r="M130" s="2410"/>
      <c r="N130" s="611"/>
      <c r="O130" s="2408">
        <f>IF(((O127-0.1)*AW112)&gt;0,((O127-0.1)*AW112),0)</f>
        <v>0.123118509034002</v>
      </c>
      <c r="P130" s="2409"/>
      <c r="Q130" s="2409"/>
      <c r="R130" s="2410"/>
      <c r="S130" s="611"/>
      <c r="T130" s="2408">
        <f>IF(((T127-0.1)*AW113)&gt;0,((T127-0.1)*AW113),0)</f>
        <v>0.110566390753964</v>
      </c>
      <c r="U130" s="2409"/>
      <c r="V130" s="2409"/>
      <c r="W130" s="2410"/>
      <c r="X130" s="611"/>
      <c r="Y130" s="2408" t="e">
        <f>IF(((Y127-0.1)*AW114)&gt;0,((Y127-0.1)*AW114),0)</f>
        <v>#DIV/0!</v>
      </c>
      <c r="Z130" s="2409"/>
      <c r="AA130" s="2409"/>
      <c r="AB130" s="2410"/>
      <c r="AC130" s="611"/>
      <c r="AD130" s="2408" t="e">
        <f>IF(((AD127-0.1)*AW115)&gt;0,((AD127-0.1)*AW115),0)</f>
        <v>#DIV/0!</v>
      </c>
      <c r="AE130" s="2409"/>
      <c r="AF130" s="2409"/>
      <c r="AG130" s="2410"/>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604">
        <f>ROUNDDOWN(SUMIF(E130:AG130,"&gt;0"),2)</f>
        <v>0.33</v>
      </c>
      <c r="F132" s="2359"/>
      <c r="G132" s="2359"/>
      <c r="H132" s="2605"/>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392">
        <f>IF((E132*100)&gt;10,10,E132*100)</f>
        <v>10</v>
      </c>
      <c r="F133" s="2393"/>
      <c r="G133" s="2393"/>
      <c r="H133" s="2394"/>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392">
        <f>E133</f>
        <v>10</v>
      </c>
      <c r="AL137" s="2393"/>
      <c r="AM137" s="2394"/>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2372" t="s">
        <v>1422</v>
      </c>
      <c r="AF140" s="2372"/>
      <c r="AG140" s="2372"/>
      <c r="AH140" s="2372"/>
      <c r="AI140" s="2372"/>
      <c r="AJ140" s="2372"/>
      <c r="AK140" s="2372"/>
      <c r="AL140" s="625"/>
      <c r="AN140" s="626"/>
      <c r="AO140" s="570"/>
    </row>
    <row r="141" spans="1:52" s="573" customFormat="1" ht="13.0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404" t="s">
        <v>1446</v>
      </c>
      <c r="AG142" s="2404"/>
      <c r="AH142" s="2404"/>
      <c r="AI142" s="2404"/>
      <c r="AJ142" s="2404"/>
      <c r="AK142" s="2404"/>
      <c r="AL142" s="2404"/>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405" t="s">
        <v>2721</v>
      </c>
      <c r="C144" s="2405"/>
      <c r="D144" s="2405"/>
      <c r="E144" s="2405"/>
      <c r="F144" s="2405"/>
      <c r="G144" s="2405"/>
      <c r="H144" s="2405"/>
      <c r="I144" s="2405"/>
      <c r="J144" s="2405"/>
      <c r="K144" s="2405"/>
      <c r="L144" s="2405"/>
      <c r="M144" s="2405"/>
      <c r="N144" s="2405"/>
      <c r="O144" s="2405"/>
      <c r="P144" s="2405"/>
      <c r="Q144" s="2405"/>
      <c r="R144" s="2405"/>
      <c r="S144" s="2405"/>
      <c r="T144" s="2405"/>
      <c r="U144" s="2405"/>
      <c r="V144" s="2405"/>
      <c r="W144" s="2405"/>
      <c r="X144" s="2405"/>
      <c r="Y144" s="2405"/>
      <c r="Z144" s="2405"/>
      <c r="AA144" s="2405"/>
      <c r="AB144" s="2405"/>
      <c r="AC144" s="240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430" t="s">
        <v>1449</v>
      </c>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M147" s="573"/>
      <c r="AN147" s="569"/>
      <c r="AO147" s="510" t="s">
        <v>1449</v>
      </c>
      <c r="AP147" s="523">
        <v>7</v>
      </c>
    </row>
    <row r="148" spans="1:42" s="570" customFormat="1" ht="13.0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2325</v>
      </c>
      <c r="AP148" s="523">
        <v>7</v>
      </c>
    </row>
    <row r="149" spans="1:42" s="570" customFormat="1" ht="12.75" customHeight="1">
      <c r="A149" s="572"/>
      <c r="B149" s="573" t="s">
        <v>1450</v>
      </c>
      <c r="AB149" s="2431" t="s">
        <v>599</v>
      </c>
      <c r="AC149" s="243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430" t="s">
        <v>1451</v>
      </c>
      <c r="C152" s="2430"/>
      <c r="D152" s="2430"/>
      <c r="E152" s="2430"/>
      <c r="F152" s="2430"/>
      <c r="G152" s="2430"/>
      <c r="H152" s="2430"/>
      <c r="I152" s="2430"/>
      <c r="J152" s="2430"/>
      <c r="K152" s="2430"/>
      <c r="L152" s="2430"/>
      <c r="M152" s="2430"/>
      <c r="N152" s="2430"/>
      <c r="O152" s="2430"/>
      <c r="P152" s="2430"/>
      <c r="Q152" s="2430"/>
      <c r="R152" s="2430"/>
      <c r="S152" s="2430"/>
      <c r="T152" s="2430"/>
      <c r="U152" s="2430"/>
      <c r="V152" s="2430"/>
      <c r="W152" s="2430"/>
      <c r="X152" s="2430"/>
      <c r="Y152" s="2430"/>
      <c r="Z152" s="2430"/>
      <c r="AA152" s="2430"/>
      <c r="AB152" s="2430"/>
      <c r="AC152" s="2430"/>
      <c r="AD152" s="2430"/>
      <c r="AE152" s="2430"/>
      <c r="AF152" s="2430"/>
      <c r="AG152" s="2430"/>
      <c r="AH152" s="2430"/>
      <c r="AI152" s="2430"/>
      <c r="AJ152" s="2430"/>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2434">
        <f>IF($AB$149="N/A",VLOOKUP($B$147,$AO$145:$AP$148,2,FALSE),VLOOKUP($B$152,$AO$150:$AP$152,2,FALSE))</f>
        <v>7</v>
      </c>
      <c r="AK155" s="2434"/>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404" t="s">
        <v>1460</v>
      </c>
      <c r="AG157" s="2404"/>
      <c r="AH157" s="2404"/>
      <c r="AI157" s="2404"/>
      <c r="AJ157" s="2404"/>
      <c r="AK157" s="2404"/>
      <c r="AL157" s="2404"/>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430" t="s">
        <v>1458</v>
      </c>
      <c r="D159" s="2430"/>
      <c r="E159" s="2430"/>
      <c r="F159" s="2430"/>
      <c r="G159" s="2430"/>
      <c r="H159" s="2430"/>
      <c r="I159" s="2430"/>
      <c r="J159" s="2430"/>
      <c r="K159" s="2430"/>
      <c r="L159" s="2430"/>
      <c r="M159" s="2430"/>
      <c r="N159" s="2430"/>
      <c r="O159" s="2430"/>
      <c r="P159" s="2430"/>
      <c r="Q159" s="2430"/>
      <c r="R159" s="2430"/>
      <c r="S159" s="2430"/>
      <c r="T159" s="2430"/>
      <c r="U159" s="2430"/>
      <c r="V159" s="2430"/>
      <c r="W159" s="2430"/>
      <c r="X159" s="2430"/>
      <c r="Y159" s="2430"/>
      <c r="Z159" s="2430"/>
      <c r="AA159" s="2430"/>
      <c r="AB159" s="2430"/>
      <c r="AC159" s="2430"/>
      <c r="AD159" s="2430"/>
      <c r="AE159" s="2430"/>
      <c r="AF159" s="2430"/>
      <c r="AG159" s="2430"/>
      <c r="AH159" s="2430"/>
      <c r="AI159" s="2430"/>
      <c r="AJ159" s="570"/>
      <c r="AK159" s="570"/>
      <c r="AL159" s="570"/>
      <c r="AM159" s="637"/>
      <c r="AN159" s="631"/>
      <c r="AO159" s="510" t="s">
        <v>308</v>
      </c>
      <c r="AP159" s="510"/>
    </row>
    <row r="160" spans="1:42" s="584" customFormat="1" ht="13.0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431" t="s">
        <v>599</v>
      </c>
      <c r="AG161" s="2431"/>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2525</v>
      </c>
      <c r="AP162" s="633">
        <v>3</v>
      </c>
    </row>
    <row r="163" spans="1:73" s="584" customFormat="1" ht="12.75" customHeight="1">
      <c r="A163" s="570"/>
      <c r="B163" s="570"/>
      <c r="C163" s="2430" t="s">
        <v>1451</v>
      </c>
      <c r="D163" s="2430"/>
      <c r="E163" s="2430"/>
      <c r="F163" s="2430"/>
      <c r="G163" s="2430"/>
      <c r="H163" s="2430"/>
      <c r="I163" s="2430"/>
      <c r="J163" s="2430"/>
      <c r="K163" s="2430"/>
      <c r="L163" s="2430"/>
      <c r="M163" s="2430"/>
      <c r="N163" s="2430"/>
      <c r="O163" s="2430"/>
      <c r="P163" s="2430"/>
      <c r="Q163" s="2430"/>
      <c r="R163" s="2430"/>
      <c r="S163" s="2430"/>
      <c r="T163" s="2430"/>
      <c r="U163" s="2430"/>
      <c r="V163" s="2430"/>
      <c r="W163" s="2430"/>
      <c r="X163" s="2430"/>
      <c r="Y163" s="2430"/>
      <c r="Z163" s="2430"/>
      <c r="AA163" s="2430"/>
      <c r="AB163" s="2430"/>
      <c r="AC163" s="2430"/>
      <c r="AD163" s="2430"/>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432" t="str">
        <f>Application!AA335</f>
        <v>Cambridge Real Estate Services, Inc.</v>
      </c>
      <c r="D167" s="2432"/>
      <c r="E167" s="2432"/>
      <c r="F167" s="2432"/>
      <c r="G167" s="2432"/>
      <c r="H167" s="2432"/>
      <c r="I167" s="2432"/>
      <c r="J167" s="2432"/>
      <c r="K167" s="2432"/>
      <c r="L167" s="2432"/>
      <c r="M167" s="2432"/>
      <c r="N167" s="2432"/>
      <c r="O167" s="2432"/>
      <c r="P167" s="2432"/>
      <c r="Q167" s="2432"/>
      <c r="R167" s="2432"/>
      <c r="S167" s="2432"/>
      <c r="T167" s="2432"/>
      <c r="U167" s="2432"/>
      <c r="V167" s="2432"/>
      <c r="W167" s="2432"/>
      <c r="X167" s="2432"/>
      <c r="Y167" s="2432"/>
      <c r="Z167" s="2432"/>
      <c r="AA167" s="2432"/>
      <c r="AB167" s="2432"/>
      <c r="AC167" s="2432"/>
      <c r="AD167" s="2432"/>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2433">
        <f>IF($AF$161="N/A",VLOOKUP($C$159,$AO$159:$AP$162,2,FALSE),VLOOKUP($C$163,$AO$166:$AP$168,2,FALSE))</f>
        <v>3</v>
      </c>
      <c r="AK169" s="2433"/>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392">
        <f>$AJ$155+$AJ$169</f>
        <v>10</v>
      </c>
      <c r="AL172" s="2393"/>
      <c r="AM172" s="2394"/>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2372" t="s">
        <v>1422</v>
      </c>
      <c r="AF175" s="2372"/>
      <c r="AG175" s="2372"/>
      <c r="AH175" s="2372"/>
      <c r="AI175" s="2372"/>
      <c r="AJ175" s="2372"/>
      <c r="AK175" s="2372"/>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428" t="s">
        <v>1064</v>
      </c>
      <c r="C177" s="2428"/>
      <c r="D177" s="2428"/>
      <c r="E177" s="2428"/>
      <c r="F177" s="2428"/>
      <c r="G177" s="2428"/>
      <c r="H177" s="2428"/>
      <c r="I177" s="2428"/>
      <c r="J177" s="2428"/>
      <c r="K177" s="2428"/>
      <c r="L177" s="2428"/>
      <c r="M177" s="2428"/>
      <c r="N177" s="2428"/>
      <c r="O177" s="2428"/>
      <c r="P177" s="2428"/>
      <c r="Q177" s="2428"/>
      <c r="R177" s="2428"/>
      <c r="S177" s="2428"/>
      <c r="T177" s="2428"/>
      <c r="U177" s="2428"/>
      <c r="V177" s="2428"/>
      <c r="W177" s="2428"/>
      <c r="X177" s="2428"/>
      <c r="Y177" s="2428"/>
      <c r="Z177" s="2428"/>
      <c r="AA177" s="2428"/>
      <c r="AB177" s="2428"/>
      <c r="AC177" s="2428"/>
      <c r="AD177" s="570"/>
      <c r="AE177" s="570"/>
      <c r="AF177" s="2404" t="s">
        <v>1471</v>
      </c>
      <c r="AG177" s="2404"/>
      <c r="AH177" s="2404"/>
      <c r="AI177" s="2404"/>
      <c r="AJ177" s="2404"/>
      <c r="AK177" s="2404"/>
      <c r="AL177" s="2404"/>
      <c r="AN177" s="631"/>
      <c r="AP177" s="584" t="s">
        <v>1066</v>
      </c>
      <c r="AQ177" s="584">
        <v>10</v>
      </c>
    </row>
    <row r="178" spans="1:45" s="584" customFormat="1" ht="12.75" customHeight="1">
      <c r="A178" s="570"/>
      <c r="B178" s="2429" t="s">
        <v>1913</v>
      </c>
      <c r="C178" s="2429"/>
      <c r="D178" s="2429"/>
      <c r="E178" s="2429"/>
      <c r="F178" s="2429"/>
      <c r="G178" s="2429"/>
      <c r="H178" s="2429"/>
      <c r="I178" s="2429"/>
      <c r="J178" s="2429"/>
      <c r="K178" s="2429"/>
      <c r="L178" s="2429"/>
      <c r="M178" s="2429"/>
      <c r="N178" s="2429"/>
      <c r="O178" s="2429"/>
      <c r="P178" s="2429"/>
      <c r="Q178" s="2429"/>
      <c r="R178" s="2429"/>
      <c r="S178" s="2429"/>
      <c r="T178" s="2405" t="s">
        <v>599</v>
      </c>
      <c r="U178" s="2405"/>
      <c r="V178" s="2405"/>
      <c r="W178" s="2405"/>
      <c r="X178" s="2405"/>
      <c r="Y178" s="2405"/>
      <c r="Z178" s="2405"/>
      <c r="AA178" s="2405"/>
      <c r="AB178" s="2405"/>
      <c r="AC178" s="2405"/>
      <c r="AD178" s="570"/>
      <c r="AE178" s="570"/>
      <c r="AF178" s="570"/>
      <c r="AG178" s="570"/>
      <c r="AH178" s="570"/>
      <c r="AI178" s="570"/>
      <c r="AJ178" s="577"/>
      <c r="AK178" s="629"/>
      <c r="AL178" s="629"/>
      <c r="AM178" s="629"/>
      <c r="AN178" s="631"/>
      <c r="AP178" s="584" t="s">
        <v>1472</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2438">
        <f>IF(AK78&gt;0,VLOOKUP($B$177,AP174:AQ180,2,FALSE),0)</f>
        <v>10</v>
      </c>
      <c r="AL180" s="2439"/>
      <c r="AM180" s="2440"/>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2372" t="s">
        <v>1480</v>
      </c>
      <c r="AF183" s="2372"/>
      <c r="AG183" s="2372"/>
      <c r="AH183" s="2372"/>
      <c r="AI183" s="2372"/>
      <c r="AJ183" s="2372"/>
      <c r="AK183" s="237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416"/>
      <c r="C188" s="2416"/>
      <c r="D188" s="2416"/>
      <c r="E188" s="2416"/>
      <c r="F188" s="2416"/>
      <c r="G188" s="2416"/>
      <c r="H188" s="2416"/>
      <c r="I188" s="2416"/>
      <c r="J188" s="2416"/>
      <c r="K188" s="2416"/>
      <c r="L188" s="2416"/>
      <c r="M188" s="2416"/>
      <c r="N188" s="2416"/>
      <c r="O188" s="2416"/>
      <c r="P188" s="2416"/>
      <c r="Q188" s="2416"/>
      <c r="R188" s="2416"/>
      <c r="S188" s="2416"/>
      <c r="T188" s="2416"/>
      <c r="U188" s="2416"/>
      <c r="V188" s="2416"/>
      <c r="W188" s="2416"/>
      <c r="X188" s="2416"/>
      <c r="Y188" s="2416"/>
      <c r="Z188" s="2416"/>
      <c r="AA188" s="2416"/>
      <c r="AB188" s="2416"/>
      <c r="AC188" s="880"/>
      <c r="AD188" s="2417"/>
      <c r="AE188" s="2417"/>
      <c r="AF188" s="2417"/>
      <c r="AG188" s="2417"/>
      <c r="AH188" s="2417"/>
      <c r="AI188" s="2417"/>
      <c r="AJ188" s="2417"/>
      <c r="AK188" s="644"/>
    </row>
    <row r="189" spans="1:45">
      <c r="A189" s="639"/>
      <c r="B189" s="2416"/>
      <c r="C189" s="2416"/>
      <c r="D189" s="2416"/>
      <c r="E189" s="2416"/>
      <c r="F189" s="2416"/>
      <c r="G189" s="2416"/>
      <c r="H189" s="2416"/>
      <c r="I189" s="2416"/>
      <c r="J189" s="2416"/>
      <c r="K189" s="2416"/>
      <c r="L189" s="2416"/>
      <c r="M189" s="2416"/>
      <c r="N189" s="2416"/>
      <c r="O189" s="2416"/>
      <c r="P189" s="2416"/>
      <c r="Q189" s="2416"/>
      <c r="R189" s="2416"/>
      <c r="S189" s="2416"/>
      <c r="T189" s="2416"/>
      <c r="U189" s="2416"/>
      <c r="V189" s="2416"/>
      <c r="W189" s="2416"/>
      <c r="X189" s="2416"/>
      <c r="Y189" s="2416"/>
      <c r="Z189" s="2416"/>
      <c r="AA189" s="2416"/>
      <c r="AB189" s="2416"/>
      <c r="AC189" s="880"/>
      <c r="AD189" s="2417"/>
      <c r="AE189" s="2417"/>
      <c r="AF189" s="2417"/>
      <c r="AG189" s="2417"/>
      <c r="AH189" s="2417"/>
      <c r="AI189" s="2417"/>
      <c r="AJ189" s="2417"/>
      <c r="AK189" s="644"/>
    </row>
    <row r="190" spans="1:45">
      <c r="A190" s="639"/>
      <c r="B190" s="2416"/>
      <c r="C190" s="2416"/>
      <c r="D190" s="2416"/>
      <c r="E190" s="2416"/>
      <c r="F190" s="2416"/>
      <c r="G190" s="2416"/>
      <c r="H190" s="2416"/>
      <c r="I190" s="2416"/>
      <c r="J190" s="2416"/>
      <c r="K190" s="2416"/>
      <c r="L190" s="2416"/>
      <c r="M190" s="2416"/>
      <c r="N190" s="2416"/>
      <c r="O190" s="2416"/>
      <c r="P190" s="2416"/>
      <c r="Q190" s="2416"/>
      <c r="R190" s="2416"/>
      <c r="S190" s="2416"/>
      <c r="T190" s="2416"/>
      <c r="U190" s="2416"/>
      <c r="V190" s="2416"/>
      <c r="W190" s="2416"/>
      <c r="X190" s="2416"/>
      <c r="Y190" s="2416"/>
      <c r="Z190" s="2416"/>
      <c r="AA190" s="2416"/>
      <c r="AB190" s="2416"/>
      <c r="AC190" s="880"/>
      <c r="AD190" s="2417"/>
      <c r="AE190" s="2417"/>
      <c r="AF190" s="2417"/>
      <c r="AG190" s="2417"/>
      <c r="AH190" s="2417"/>
      <c r="AI190" s="2417"/>
      <c r="AJ190" s="2417"/>
      <c r="AK190" s="644"/>
    </row>
    <row r="191" spans="1:45">
      <c r="A191" s="639"/>
      <c r="B191" s="2416"/>
      <c r="C191" s="2416"/>
      <c r="D191" s="2416"/>
      <c r="E191" s="2416"/>
      <c r="F191" s="2416"/>
      <c r="G191" s="2416"/>
      <c r="H191" s="2416"/>
      <c r="I191" s="2416"/>
      <c r="J191" s="2416"/>
      <c r="K191" s="2416"/>
      <c r="L191" s="2416"/>
      <c r="M191" s="2416"/>
      <c r="N191" s="2416"/>
      <c r="O191" s="2416"/>
      <c r="P191" s="2416"/>
      <c r="Q191" s="2416"/>
      <c r="R191" s="2416"/>
      <c r="S191" s="2416"/>
      <c r="T191" s="2416"/>
      <c r="U191" s="2416"/>
      <c r="V191" s="2416"/>
      <c r="W191" s="2416"/>
      <c r="X191" s="2416"/>
      <c r="Y191" s="2416"/>
      <c r="Z191" s="2416"/>
      <c r="AA191" s="2416"/>
      <c r="AB191" s="2416"/>
      <c r="AC191" s="880"/>
      <c r="AD191" s="2417"/>
      <c r="AE191" s="2417"/>
      <c r="AF191" s="2417"/>
      <c r="AG191" s="2417"/>
      <c r="AH191" s="2417"/>
      <c r="AI191" s="2417"/>
      <c r="AJ191" s="2417"/>
      <c r="AK191" s="644"/>
    </row>
    <row r="192" spans="1:45">
      <c r="A192" s="639"/>
      <c r="B192" s="2416"/>
      <c r="C192" s="2416"/>
      <c r="D192" s="2416"/>
      <c r="E192" s="2416"/>
      <c r="F192" s="2416"/>
      <c r="G192" s="2416"/>
      <c r="H192" s="2416"/>
      <c r="I192" s="2416"/>
      <c r="J192" s="2416"/>
      <c r="K192" s="2416"/>
      <c r="L192" s="2416"/>
      <c r="M192" s="2416"/>
      <c r="N192" s="2416"/>
      <c r="O192" s="2416"/>
      <c r="P192" s="2416"/>
      <c r="Q192" s="2416"/>
      <c r="R192" s="2416"/>
      <c r="S192" s="2416"/>
      <c r="T192" s="2416"/>
      <c r="U192" s="2416"/>
      <c r="V192" s="2416"/>
      <c r="W192" s="2416"/>
      <c r="X192" s="2416"/>
      <c r="Y192" s="2416"/>
      <c r="Z192" s="2416"/>
      <c r="AA192" s="2416"/>
      <c r="AB192" s="2416"/>
      <c r="AC192" s="880"/>
      <c r="AD192" s="2417"/>
      <c r="AE192" s="2417"/>
      <c r="AF192" s="2417"/>
      <c r="AG192" s="2417"/>
      <c r="AH192" s="2417"/>
      <c r="AI192" s="2417"/>
      <c r="AJ192" s="2417"/>
      <c r="AK192" s="644"/>
    </row>
    <row r="193" spans="1:37">
      <c r="A193" s="639"/>
      <c r="B193" s="2416"/>
      <c r="C193" s="2416"/>
      <c r="D193" s="2416"/>
      <c r="E193" s="2416"/>
      <c r="F193" s="2416"/>
      <c r="G193" s="2416"/>
      <c r="H193" s="2416"/>
      <c r="I193" s="2416"/>
      <c r="J193" s="2416"/>
      <c r="K193" s="2416"/>
      <c r="L193" s="2416"/>
      <c r="M193" s="2416"/>
      <c r="N193" s="2416"/>
      <c r="O193" s="2416"/>
      <c r="P193" s="2416"/>
      <c r="Q193" s="2416"/>
      <c r="R193" s="2416"/>
      <c r="S193" s="2416"/>
      <c r="T193" s="2416"/>
      <c r="U193" s="2416"/>
      <c r="V193" s="2416"/>
      <c r="W193" s="2416"/>
      <c r="X193" s="2416"/>
      <c r="Y193" s="2416"/>
      <c r="Z193" s="2416"/>
      <c r="AA193" s="2416"/>
      <c r="AB193" s="2416"/>
      <c r="AC193" s="880"/>
      <c r="AD193" s="2417"/>
      <c r="AE193" s="2417"/>
      <c r="AF193" s="2417"/>
      <c r="AG193" s="2417"/>
      <c r="AH193" s="2417"/>
      <c r="AI193" s="2417"/>
      <c r="AJ193" s="2417"/>
      <c r="AK193" s="644"/>
    </row>
    <row r="194" spans="1:37">
      <c r="A194" s="639"/>
      <c r="B194" s="2416"/>
      <c r="C194" s="2416"/>
      <c r="D194" s="2416"/>
      <c r="E194" s="2416"/>
      <c r="F194" s="2416"/>
      <c r="G194" s="2416"/>
      <c r="H194" s="2416"/>
      <c r="I194" s="2416"/>
      <c r="J194" s="2416"/>
      <c r="K194" s="2416"/>
      <c r="L194" s="2416"/>
      <c r="M194" s="2416"/>
      <c r="N194" s="2416"/>
      <c r="O194" s="2416"/>
      <c r="P194" s="2416"/>
      <c r="Q194" s="2416"/>
      <c r="R194" s="2416"/>
      <c r="S194" s="2416"/>
      <c r="T194" s="2416"/>
      <c r="U194" s="2416"/>
      <c r="V194" s="2416"/>
      <c r="W194" s="2416"/>
      <c r="X194" s="2416"/>
      <c r="Y194" s="2416"/>
      <c r="Z194" s="2416"/>
      <c r="AA194" s="2416"/>
      <c r="AB194" s="2416"/>
      <c r="AC194" s="880"/>
      <c r="AD194" s="2417"/>
      <c r="AE194" s="2417"/>
      <c r="AF194" s="2417"/>
      <c r="AG194" s="2417"/>
      <c r="AH194" s="2417"/>
      <c r="AI194" s="2417"/>
      <c r="AJ194" s="2417"/>
      <c r="AK194" s="644"/>
    </row>
    <row r="195" spans="1:37">
      <c r="A195" s="639"/>
      <c r="B195" s="2416"/>
      <c r="C195" s="2416"/>
      <c r="D195" s="2416"/>
      <c r="E195" s="2416"/>
      <c r="F195" s="2416"/>
      <c r="G195" s="2416"/>
      <c r="H195" s="2416"/>
      <c r="I195" s="2416"/>
      <c r="J195" s="2416"/>
      <c r="K195" s="2416"/>
      <c r="L195" s="2416"/>
      <c r="M195" s="2416"/>
      <c r="N195" s="2416"/>
      <c r="O195" s="2416"/>
      <c r="P195" s="2416"/>
      <c r="Q195" s="2416"/>
      <c r="R195" s="2416"/>
      <c r="S195" s="2416"/>
      <c r="T195" s="2416"/>
      <c r="U195" s="2416"/>
      <c r="V195" s="2416"/>
      <c r="W195" s="2416"/>
      <c r="X195" s="2416"/>
      <c r="Y195" s="2416"/>
      <c r="Z195" s="2416"/>
      <c r="AA195" s="2416"/>
      <c r="AB195" s="2416"/>
      <c r="AC195" s="880"/>
      <c r="AD195" s="2417"/>
      <c r="AE195" s="2417"/>
      <c r="AF195" s="2417"/>
      <c r="AG195" s="2417"/>
      <c r="AH195" s="2417"/>
      <c r="AI195" s="2417"/>
      <c r="AJ195" s="2417"/>
      <c r="AK195" s="644"/>
    </row>
    <row r="196" spans="1:37">
      <c r="A196" s="639"/>
      <c r="B196" s="2416"/>
      <c r="C196" s="2416"/>
      <c r="D196" s="2416"/>
      <c r="E196" s="2416"/>
      <c r="F196" s="2416"/>
      <c r="G196" s="2416"/>
      <c r="H196" s="2416"/>
      <c r="I196" s="2416"/>
      <c r="J196" s="2416"/>
      <c r="K196" s="2416"/>
      <c r="L196" s="2416"/>
      <c r="M196" s="2416"/>
      <c r="N196" s="2416"/>
      <c r="O196" s="2416"/>
      <c r="P196" s="2416"/>
      <c r="Q196" s="2416"/>
      <c r="R196" s="2416"/>
      <c r="S196" s="2416"/>
      <c r="T196" s="2416"/>
      <c r="U196" s="2416"/>
      <c r="V196" s="2416"/>
      <c r="W196" s="2416"/>
      <c r="X196" s="2416"/>
      <c r="Y196" s="2416"/>
      <c r="Z196" s="2416"/>
      <c r="AA196" s="2416"/>
      <c r="AB196" s="2416"/>
      <c r="AC196" s="880"/>
      <c r="AD196" s="2417"/>
      <c r="AE196" s="2417"/>
      <c r="AF196" s="2417"/>
      <c r="AG196" s="2417"/>
      <c r="AH196" s="2417"/>
      <c r="AI196" s="2417"/>
      <c r="AJ196" s="2417"/>
      <c r="AK196" s="644"/>
    </row>
    <row r="197" spans="1:37">
      <c r="A197" s="639"/>
      <c r="B197" s="2416"/>
      <c r="C197" s="2416"/>
      <c r="D197" s="2416"/>
      <c r="E197" s="2416"/>
      <c r="F197" s="2416"/>
      <c r="G197" s="2416"/>
      <c r="H197" s="2416"/>
      <c r="I197" s="2416"/>
      <c r="J197" s="2416"/>
      <c r="K197" s="2416"/>
      <c r="L197" s="2416"/>
      <c r="M197" s="2416"/>
      <c r="N197" s="2416"/>
      <c r="O197" s="2416"/>
      <c r="P197" s="2416"/>
      <c r="Q197" s="2416"/>
      <c r="R197" s="2416"/>
      <c r="S197" s="2416"/>
      <c r="T197" s="2416"/>
      <c r="U197" s="2416"/>
      <c r="V197" s="2416"/>
      <c r="W197" s="2416"/>
      <c r="X197" s="2416"/>
      <c r="Y197" s="2416"/>
      <c r="Z197" s="2416"/>
      <c r="AA197" s="2416"/>
      <c r="AB197" s="2416"/>
      <c r="AC197" s="880"/>
      <c r="AD197" s="2417"/>
      <c r="AE197" s="2417"/>
      <c r="AF197" s="2417"/>
      <c r="AG197" s="2417"/>
      <c r="AH197" s="2417"/>
      <c r="AI197" s="2417"/>
      <c r="AJ197" s="2417"/>
      <c r="AK197" s="644"/>
    </row>
    <row r="198" spans="1:37">
      <c r="A198" s="639"/>
      <c r="B198" s="2581" t="s">
        <v>1736</v>
      </c>
      <c r="C198" s="2581"/>
      <c r="D198" s="2581"/>
      <c r="E198" s="2581"/>
      <c r="F198" s="2581"/>
      <c r="G198" s="2581"/>
      <c r="H198" s="2581"/>
      <c r="I198" s="2581"/>
      <c r="J198" s="2581"/>
      <c r="K198" s="2581"/>
      <c r="L198" s="2581"/>
      <c r="M198" s="2581"/>
      <c r="N198" s="2581"/>
      <c r="O198" s="2581"/>
      <c r="P198" s="2581"/>
      <c r="Q198" s="2581"/>
      <c r="R198" s="2581"/>
      <c r="S198" s="2581"/>
      <c r="T198" s="2581"/>
      <c r="U198" s="2581"/>
      <c r="V198" s="2581"/>
      <c r="W198" s="2581"/>
      <c r="X198" s="2581"/>
      <c r="Y198" s="2581"/>
      <c r="Z198" s="2581"/>
      <c r="AA198" s="2581"/>
      <c r="AB198" s="2581"/>
      <c r="AC198" s="570"/>
      <c r="AD198" s="2445">
        <f>AB249</f>
        <v>8875247.0010524578</v>
      </c>
      <c r="AE198" s="2445"/>
      <c r="AF198" s="2445"/>
      <c r="AG198" s="2445"/>
      <c r="AH198" s="2445"/>
      <c r="AI198" s="2445"/>
      <c r="AJ198" s="2445"/>
      <c r="AK198" s="644"/>
    </row>
    <row r="199" spans="1:37">
      <c r="A199" s="639"/>
      <c r="B199" s="2579" t="s">
        <v>1699</v>
      </c>
      <c r="C199" s="2579"/>
      <c r="D199" s="2579"/>
      <c r="E199" s="2579"/>
      <c r="F199" s="2579"/>
      <c r="G199" s="2579"/>
      <c r="H199" s="2579"/>
      <c r="I199" s="2579"/>
      <c r="J199" s="2579"/>
      <c r="K199" s="2579"/>
      <c r="L199" s="2579"/>
      <c r="M199" s="2579"/>
      <c r="N199" s="2579"/>
      <c r="O199" s="2579"/>
      <c r="P199" s="2579"/>
      <c r="Q199" s="2579"/>
      <c r="R199" s="2579"/>
      <c r="S199" s="2579"/>
      <c r="T199" s="2579"/>
      <c r="U199" s="2579"/>
      <c r="V199" s="2579"/>
      <c r="W199" s="2579"/>
      <c r="X199" s="2579"/>
      <c r="Y199" s="2579"/>
      <c r="Z199" s="2579"/>
      <c r="AA199" s="2579"/>
      <c r="AB199" s="2579"/>
      <c r="AC199" s="880"/>
      <c r="AD199" s="2446">
        <f>'Sources and Uses Budget'!B15</f>
        <v>0</v>
      </c>
      <c r="AE199" s="2446"/>
      <c r="AF199" s="2446"/>
      <c r="AG199" s="2446"/>
      <c r="AH199" s="2446"/>
      <c r="AI199" s="2446"/>
      <c r="AJ199" s="2446"/>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450">
        <f>SUM(AD188:AJ198)-AD199</f>
        <v>8875247.0010524578</v>
      </c>
      <c r="AE200" s="2450"/>
      <c r="AF200" s="2450"/>
      <c r="AG200" s="2450"/>
      <c r="AH200" s="2450"/>
      <c r="AI200" s="2450"/>
      <c r="AJ200" s="245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2332</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420" t="s">
        <v>1716</v>
      </c>
      <c r="J211" s="2420"/>
      <c r="K211" s="2420"/>
      <c r="L211" s="570"/>
      <c r="M211" s="570"/>
      <c r="N211" s="570"/>
      <c r="O211" s="570"/>
      <c r="P211" s="570"/>
      <c r="Q211" s="570"/>
      <c r="R211" s="570"/>
      <c r="S211" s="570"/>
      <c r="T211" s="2607" t="s">
        <v>1710</v>
      </c>
      <c r="U211" s="2607"/>
      <c r="V211" s="2607"/>
      <c r="W211" s="2607"/>
      <c r="X211" s="2607"/>
      <c r="Y211" s="2607"/>
      <c r="Z211" s="883"/>
      <c r="AA211" s="523"/>
      <c r="AB211" s="2415" t="s">
        <v>1711</v>
      </c>
      <c r="AC211" s="2415"/>
      <c r="AD211" s="2415"/>
      <c r="AE211" s="2415"/>
      <c r="AF211" s="2415"/>
      <c r="AG211" s="2415"/>
      <c r="AH211" s="861"/>
      <c r="AI211" s="861"/>
      <c r="AJ211" s="861"/>
      <c r="AK211" s="644"/>
    </row>
    <row r="212" spans="1:37">
      <c r="A212" s="639"/>
      <c r="B212" s="2418" t="s">
        <v>1696</v>
      </c>
      <c r="C212" s="2418"/>
      <c r="D212" s="2418"/>
      <c r="E212" s="2418"/>
      <c r="F212" s="2418"/>
      <c r="G212" s="2418"/>
      <c r="I212" s="2419" t="s">
        <v>1717</v>
      </c>
      <c r="J212" s="2419"/>
      <c r="K212" s="2419"/>
      <c r="L212" s="1043"/>
      <c r="N212" s="2425" t="s">
        <v>1712</v>
      </c>
      <c r="O212" s="2425"/>
      <c r="P212" s="2425"/>
      <c r="Q212" s="2425"/>
      <c r="R212" s="2425"/>
      <c r="T212" s="2425" t="s">
        <v>1713</v>
      </c>
      <c r="U212" s="2425"/>
      <c r="V212" s="2425"/>
      <c r="W212" s="2425"/>
      <c r="X212" s="2425"/>
      <c r="Y212" s="2425"/>
      <c r="Z212" s="884"/>
      <c r="AA212" s="523"/>
      <c r="AB212" s="2582" t="s">
        <v>1714</v>
      </c>
      <c r="AC212" s="2582"/>
      <c r="AD212" s="2582"/>
      <c r="AE212" s="2582"/>
      <c r="AF212" s="2582"/>
      <c r="AG212" s="2582"/>
      <c r="AH212" s="861"/>
      <c r="AI212" s="861"/>
      <c r="AJ212" s="861"/>
      <c r="AK212" s="644"/>
    </row>
    <row r="213" spans="1:37">
      <c r="A213" s="639"/>
      <c r="B213" s="2422" t="s">
        <v>2709</v>
      </c>
      <c r="C213" s="2422"/>
      <c r="D213" s="2422"/>
      <c r="E213" s="2422"/>
      <c r="F213" s="2422"/>
      <c r="G213" s="2422"/>
      <c r="H213" s="886"/>
      <c r="I213" s="2421">
        <v>10</v>
      </c>
      <c r="J213" s="2421"/>
      <c r="K213" s="2421"/>
      <c r="L213" s="1043"/>
      <c r="N213" s="2426">
        <f>1358-100</f>
        <v>1258</v>
      </c>
      <c r="O213" s="2426"/>
      <c r="P213" s="2426"/>
      <c r="Q213" s="2426"/>
      <c r="R213" s="2426"/>
      <c r="T213" s="2580">
        <f>'Subsidy Contract Calculation'!F5</f>
        <v>2878</v>
      </c>
      <c r="U213" s="2580"/>
      <c r="V213" s="2580"/>
      <c r="W213" s="2580"/>
      <c r="X213" s="2580"/>
      <c r="Y213" s="2580"/>
      <c r="Z213" s="885"/>
      <c r="AA213" s="885"/>
      <c r="AB213" s="2423">
        <f t="shared" ref="AB213:AB222" si="0">MAX(($T213-$N213)*$I213*12,0)</f>
        <v>194400</v>
      </c>
      <c r="AC213" s="2423"/>
      <c r="AD213" s="2423"/>
      <c r="AE213" s="2423"/>
      <c r="AF213" s="2423"/>
      <c r="AG213" s="2423"/>
      <c r="AH213" s="861"/>
      <c r="AI213" s="861"/>
      <c r="AJ213" s="861"/>
      <c r="AK213" s="644"/>
    </row>
    <row r="214" spans="1:37">
      <c r="A214" s="639"/>
      <c r="B214" s="2422" t="s">
        <v>2709</v>
      </c>
      <c r="C214" s="2422"/>
      <c r="D214" s="2422"/>
      <c r="E214" s="2422"/>
      <c r="F214" s="2422"/>
      <c r="G214" s="2422"/>
      <c r="I214" s="2421">
        <v>10</v>
      </c>
      <c r="J214" s="2421"/>
      <c r="K214" s="2421"/>
      <c r="L214" s="1043"/>
      <c r="N214" s="2426">
        <f>1358-100</f>
        <v>1258</v>
      </c>
      <c r="O214" s="2426"/>
      <c r="P214" s="2426"/>
      <c r="Q214" s="2426"/>
      <c r="R214" s="2426"/>
      <c r="T214" s="2580">
        <f>'Subsidy Contract Calculation'!F6</f>
        <v>2878</v>
      </c>
      <c r="U214" s="2580"/>
      <c r="V214" s="2580"/>
      <c r="W214" s="2580"/>
      <c r="X214" s="2580"/>
      <c r="Y214" s="2580"/>
      <c r="Z214" s="885"/>
      <c r="AA214" s="885"/>
      <c r="AB214" s="2423">
        <f t="shared" si="0"/>
        <v>194400</v>
      </c>
      <c r="AC214" s="2423"/>
      <c r="AD214" s="2423"/>
      <c r="AE214" s="2423"/>
      <c r="AF214" s="2423"/>
      <c r="AG214" s="2423"/>
      <c r="AH214" s="861"/>
      <c r="AI214" s="861"/>
      <c r="AJ214" s="861"/>
      <c r="AK214" s="644"/>
    </row>
    <row r="215" spans="1:37">
      <c r="A215" s="639"/>
      <c r="B215" s="2422" t="s">
        <v>2743</v>
      </c>
      <c r="C215" s="2422"/>
      <c r="D215" s="2422"/>
      <c r="E215" s="2422"/>
      <c r="F215" s="2422"/>
      <c r="G215" s="2422"/>
      <c r="I215" s="2421">
        <v>7</v>
      </c>
      <c r="J215" s="2421"/>
      <c r="K215" s="2421"/>
      <c r="L215" s="1043"/>
      <c r="N215" s="2426">
        <f>1630-137</f>
        <v>1493</v>
      </c>
      <c r="O215" s="2426"/>
      <c r="P215" s="2426"/>
      <c r="Q215" s="2426"/>
      <c r="R215" s="2426"/>
      <c r="T215" s="2580">
        <f>'Subsidy Contract Calculation'!F8</f>
        <v>3786</v>
      </c>
      <c r="U215" s="2580"/>
      <c r="V215" s="2580"/>
      <c r="W215" s="2580"/>
      <c r="X215" s="2580"/>
      <c r="Y215" s="2580"/>
      <c r="Z215" s="885"/>
      <c r="AA215" s="885"/>
      <c r="AB215" s="2423">
        <f t="shared" si="0"/>
        <v>192612</v>
      </c>
      <c r="AC215" s="2423"/>
      <c r="AD215" s="2423"/>
      <c r="AE215" s="2423"/>
      <c r="AF215" s="2423"/>
      <c r="AG215" s="2423"/>
      <c r="AH215" s="861"/>
      <c r="AI215" s="861"/>
      <c r="AJ215" s="861"/>
      <c r="AK215" s="644"/>
    </row>
    <row r="216" spans="1:37">
      <c r="A216" s="639"/>
      <c r="B216" s="2422" t="s">
        <v>2743</v>
      </c>
      <c r="C216" s="2422"/>
      <c r="D216" s="2422"/>
      <c r="E216" s="2422"/>
      <c r="F216" s="2422"/>
      <c r="G216" s="2422"/>
      <c r="I216" s="2421">
        <v>8</v>
      </c>
      <c r="J216" s="2421"/>
      <c r="K216" s="2421"/>
      <c r="L216" s="1043"/>
      <c r="N216" s="2426">
        <f>1630-137</f>
        <v>1493</v>
      </c>
      <c r="O216" s="2426"/>
      <c r="P216" s="2426"/>
      <c r="Q216" s="2426"/>
      <c r="R216" s="2426"/>
      <c r="T216" s="2580">
        <f>'Subsidy Contract Calculation'!F9</f>
        <v>3786</v>
      </c>
      <c r="U216" s="2580"/>
      <c r="V216" s="2580"/>
      <c r="W216" s="2580"/>
      <c r="X216" s="2580"/>
      <c r="Y216" s="2580"/>
      <c r="Z216" s="885"/>
      <c r="AA216" s="885"/>
      <c r="AB216" s="2423">
        <f t="shared" si="0"/>
        <v>220128</v>
      </c>
      <c r="AC216" s="2423"/>
      <c r="AD216" s="2423"/>
      <c r="AE216" s="2423"/>
      <c r="AF216" s="2423"/>
      <c r="AG216" s="2423"/>
      <c r="AH216" s="861"/>
      <c r="AI216" s="861"/>
      <c r="AJ216" s="861"/>
      <c r="AK216" s="644"/>
    </row>
    <row r="217" spans="1:37">
      <c r="A217" s="639"/>
      <c r="B217" s="2422" t="s">
        <v>2744</v>
      </c>
      <c r="C217" s="2422"/>
      <c r="D217" s="2422"/>
      <c r="E217" s="2422"/>
      <c r="F217" s="2422"/>
      <c r="G217" s="2422"/>
      <c r="I217" s="2421">
        <v>1</v>
      </c>
      <c r="J217" s="2421"/>
      <c r="K217" s="2421"/>
      <c r="L217" s="1050"/>
      <c r="N217" s="2426">
        <f>1883-177</f>
        <v>1706</v>
      </c>
      <c r="O217" s="2426"/>
      <c r="P217" s="2426"/>
      <c r="Q217" s="2426"/>
      <c r="R217" s="2426"/>
      <c r="T217" s="2580">
        <f>'Subsidy Contract Calculation'!F12</f>
        <v>4241</v>
      </c>
      <c r="U217" s="2580"/>
      <c r="V217" s="2580"/>
      <c r="W217" s="2580"/>
      <c r="X217" s="2580"/>
      <c r="Y217" s="2580"/>
      <c r="Z217" s="885"/>
      <c r="AA217" s="885"/>
      <c r="AB217" s="2423">
        <f t="shared" si="0"/>
        <v>30420</v>
      </c>
      <c r="AC217" s="2423"/>
      <c r="AD217" s="2423"/>
      <c r="AE217" s="2423"/>
      <c r="AF217" s="2423"/>
      <c r="AG217" s="2423"/>
      <c r="AH217" s="861"/>
      <c r="AI217" s="861"/>
      <c r="AJ217" s="861"/>
      <c r="AK217" s="644"/>
    </row>
    <row r="218" spans="1:37">
      <c r="A218" s="639"/>
      <c r="B218" s="2422" t="s">
        <v>2744</v>
      </c>
      <c r="C218" s="2422"/>
      <c r="D218" s="2422"/>
      <c r="E218" s="2422"/>
      <c r="F218" s="2422"/>
      <c r="G218" s="2422"/>
      <c r="I218" s="2421">
        <v>4</v>
      </c>
      <c r="J218" s="2421"/>
      <c r="K218" s="2421"/>
      <c r="L218" s="1050"/>
      <c r="N218" s="2426">
        <f>1883-177</f>
        <v>1706</v>
      </c>
      <c r="O218" s="2426"/>
      <c r="P218" s="2426"/>
      <c r="Q218" s="2426"/>
      <c r="R218" s="2426"/>
      <c r="T218" s="2580">
        <f>'Subsidy Contract Calculation'!F13</f>
        <v>4241</v>
      </c>
      <c r="U218" s="2580"/>
      <c r="V218" s="2580"/>
      <c r="W218" s="2580"/>
      <c r="X218" s="2580"/>
      <c r="Y218" s="2580"/>
      <c r="Z218" s="885"/>
      <c r="AA218" s="885"/>
      <c r="AB218" s="2423">
        <f t="shared" si="0"/>
        <v>121680</v>
      </c>
      <c r="AC218" s="2423"/>
      <c r="AD218" s="2423"/>
      <c r="AE218" s="2423"/>
      <c r="AF218" s="2423"/>
      <c r="AG218" s="2423"/>
      <c r="AH218" s="861"/>
      <c r="AI218" s="861"/>
      <c r="AJ218" s="861"/>
      <c r="AK218" s="644"/>
    </row>
    <row r="219" spans="1:37">
      <c r="A219" s="639"/>
      <c r="B219" s="2422" t="s">
        <v>1289</v>
      </c>
      <c r="C219" s="2422"/>
      <c r="D219" s="2422"/>
      <c r="E219" s="2422"/>
      <c r="F219" s="2422"/>
      <c r="G219" s="2422"/>
      <c r="I219" s="2421"/>
      <c r="J219" s="2421"/>
      <c r="K219" s="2421"/>
      <c r="L219" s="1050"/>
      <c r="N219" s="2426"/>
      <c r="O219" s="2426"/>
      <c r="P219" s="2426"/>
      <c r="Q219" s="2426"/>
      <c r="R219" s="2426"/>
      <c r="T219" s="2580"/>
      <c r="U219" s="2580"/>
      <c r="V219" s="2580"/>
      <c r="W219" s="2580"/>
      <c r="X219" s="2580"/>
      <c r="Y219" s="2580"/>
      <c r="Z219" s="885"/>
      <c r="AA219" s="885"/>
      <c r="AB219" s="2423">
        <f t="shared" si="0"/>
        <v>0</v>
      </c>
      <c r="AC219" s="2423"/>
      <c r="AD219" s="2423"/>
      <c r="AE219" s="2423"/>
      <c r="AF219" s="2423"/>
      <c r="AG219" s="2423"/>
      <c r="AH219" s="861"/>
      <c r="AI219" s="861"/>
      <c r="AJ219" s="861"/>
      <c r="AK219" s="644"/>
    </row>
    <row r="220" spans="1:37">
      <c r="A220" s="639"/>
      <c r="B220" s="2422" t="s">
        <v>1289</v>
      </c>
      <c r="C220" s="2422"/>
      <c r="D220" s="2422"/>
      <c r="E220" s="2422"/>
      <c r="F220" s="2422"/>
      <c r="G220" s="2422"/>
      <c r="I220" s="2421"/>
      <c r="J220" s="2421"/>
      <c r="K220" s="2421"/>
      <c r="L220" s="1050"/>
      <c r="N220" s="2426"/>
      <c r="O220" s="2426"/>
      <c r="P220" s="2426"/>
      <c r="Q220" s="2426"/>
      <c r="R220" s="2426"/>
      <c r="T220" s="2580"/>
      <c r="U220" s="2580"/>
      <c r="V220" s="2580"/>
      <c r="W220" s="2580"/>
      <c r="X220" s="2580"/>
      <c r="Y220" s="2580"/>
      <c r="Z220" s="885"/>
      <c r="AA220" s="885"/>
      <c r="AB220" s="2423">
        <f t="shared" si="0"/>
        <v>0</v>
      </c>
      <c r="AC220" s="2423"/>
      <c r="AD220" s="2423"/>
      <c r="AE220" s="2423"/>
      <c r="AF220" s="2423"/>
      <c r="AG220" s="2423"/>
      <c r="AH220" s="861"/>
      <c r="AI220" s="861"/>
      <c r="AJ220" s="861"/>
      <c r="AK220" s="644"/>
    </row>
    <row r="221" spans="1:37">
      <c r="A221" s="639"/>
      <c r="B221" s="2422" t="s">
        <v>1289</v>
      </c>
      <c r="C221" s="2422"/>
      <c r="D221" s="2422"/>
      <c r="E221" s="2422"/>
      <c r="F221" s="2422"/>
      <c r="G221" s="2422"/>
      <c r="I221" s="2421"/>
      <c r="J221" s="2421"/>
      <c r="K221" s="2421"/>
      <c r="L221" s="1050"/>
      <c r="N221" s="2426"/>
      <c r="O221" s="2426"/>
      <c r="P221" s="2426"/>
      <c r="Q221" s="2426"/>
      <c r="R221" s="2426"/>
      <c r="T221" s="2580"/>
      <c r="U221" s="2580"/>
      <c r="V221" s="2580"/>
      <c r="W221" s="2580"/>
      <c r="X221" s="2580"/>
      <c r="Y221" s="2580"/>
      <c r="Z221" s="885"/>
      <c r="AA221" s="885"/>
      <c r="AB221" s="2423">
        <f t="shared" si="0"/>
        <v>0</v>
      </c>
      <c r="AC221" s="2423"/>
      <c r="AD221" s="2423"/>
      <c r="AE221" s="2423"/>
      <c r="AF221" s="2423"/>
      <c r="AG221" s="2423"/>
      <c r="AH221" s="861"/>
      <c r="AI221" s="861"/>
      <c r="AJ221" s="861"/>
      <c r="AK221" s="644"/>
    </row>
    <row r="222" spans="1:37">
      <c r="A222" s="639"/>
      <c r="B222" s="2422" t="s">
        <v>1289</v>
      </c>
      <c r="C222" s="2422"/>
      <c r="D222" s="2422"/>
      <c r="E222" s="2422"/>
      <c r="F222" s="2422"/>
      <c r="G222" s="2422"/>
      <c r="I222" s="2424"/>
      <c r="J222" s="2424"/>
      <c r="K222" s="2424"/>
      <c r="L222" s="1050"/>
      <c r="N222" s="2426"/>
      <c r="O222" s="2426"/>
      <c r="P222" s="2426"/>
      <c r="Q222" s="2426"/>
      <c r="R222" s="2426"/>
      <c r="T222" s="2580"/>
      <c r="U222" s="2580"/>
      <c r="V222" s="2580"/>
      <c r="W222" s="2580"/>
      <c r="X222" s="2580"/>
      <c r="Y222" s="2580"/>
      <c r="Z222" s="885"/>
      <c r="AA222" s="885"/>
      <c r="AB222" s="2578">
        <f t="shared" si="0"/>
        <v>0</v>
      </c>
      <c r="AC222" s="2578"/>
      <c r="AD222" s="2578"/>
      <c r="AE222" s="2578"/>
      <c r="AF222" s="2578"/>
      <c r="AG222" s="2578"/>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2423">
        <f>SUM(AB213:AB222)</f>
        <v>953640</v>
      </c>
      <c r="AC223" s="2423"/>
      <c r="AD223" s="2423"/>
      <c r="AE223" s="2423"/>
      <c r="AF223" s="2423"/>
      <c r="AG223" s="2423"/>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583"/>
      <c r="AC229" s="2583"/>
      <c r="AD229" s="2583"/>
      <c r="AE229" s="2583"/>
      <c r="AF229" s="2583"/>
      <c r="AG229" s="2583"/>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583"/>
      <c r="AC232" s="2583"/>
      <c r="AD232" s="2583"/>
      <c r="AE232" s="2583"/>
      <c r="AF232" s="2583"/>
      <c r="AG232" s="2583"/>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606"/>
      <c r="AC233" s="2606"/>
      <c r="AD233" s="2606"/>
      <c r="AE233" s="2606"/>
      <c r="AF233" s="2606"/>
      <c r="AG233" s="2606"/>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589">
        <f>IFERROR(AB232/AB233,0)</f>
        <v>0</v>
      </c>
      <c r="AC234" s="2589"/>
      <c r="AD234" s="2589"/>
      <c r="AE234" s="2589"/>
      <c r="AF234" s="2589"/>
      <c r="AG234" s="258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578">
        <f>MAX(AB229,AB234)</f>
        <v>0</v>
      </c>
      <c r="AC236" s="2578"/>
      <c r="AD236" s="2578"/>
      <c r="AE236" s="2578"/>
      <c r="AF236" s="2578"/>
      <c r="AG236" s="2578"/>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2423">
        <f>AB223+AB236</f>
        <v>953640</v>
      </c>
      <c r="AC239" s="2423"/>
      <c r="AD239" s="2423"/>
      <c r="AE239" s="2423"/>
      <c r="AF239" s="2423"/>
      <c r="AG239" s="2423"/>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454">
        <v>0.05</v>
      </c>
      <c r="AC240" s="2454"/>
      <c r="AD240" s="2454"/>
      <c r="AE240" s="2454"/>
      <c r="AF240" s="2454"/>
      <c r="AG240" s="2454"/>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455">
        <f>AB239-(AB239*AB240)</f>
        <v>905958</v>
      </c>
      <c r="AC241" s="2455"/>
      <c r="AD241" s="2455"/>
      <c r="AE241" s="2455"/>
      <c r="AF241" s="2455"/>
      <c r="AG241" s="2455"/>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2423">
        <f>AB241/AB247</f>
        <v>787789.56521739135</v>
      </c>
      <c r="AC243" s="2423"/>
      <c r="AD243" s="2423"/>
      <c r="AE243" s="2423"/>
      <c r="AF243" s="2423"/>
      <c r="AG243" s="2423"/>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415">
        <v>15</v>
      </c>
      <c r="AC245" s="2415"/>
      <c r="AD245" s="2415"/>
      <c r="AE245" s="2415"/>
      <c r="AF245" s="2415"/>
      <c r="AG245" s="2415"/>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456">
        <v>0.04</v>
      </c>
      <c r="AC246" s="2456"/>
      <c r="AD246" s="2456"/>
      <c r="AE246" s="2456"/>
      <c r="AF246" s="2456"/>
      <c r="AG246" s="2456"/>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427">
        <v>1.1499999999999999</v>
      </c>
      <c r="AC247" s="2427"/>
      <c r="AD247" s="2427"/>
      <c r="AE247" s="2427"/>
      <c r="AF247" s="2427"/>
      <c r="AG247" s="242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447">
        <f>PV(AB246/12,AB245*12,-AB243/12, ,0)</f>
        <v>8875247.0010524578</v>
      </c>
      <c r="AC249" s="2448"/>
      <c r="AD249" s="2448"/>
      <c r="AE249" s="2448"/>
      <c r="AF249" s="2448"/>
      <c r="AG249" s="2449"/>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451">
        <f>IFERROR(('Sources and Uses Budget'!D105/'Sources and Uses Budget'!B105),0)</f>
        <v>0</v>
      </c>
      <c r="AC255" s="2452"/>
      <c r="AD255" s="2452"/>
      <c r="AE255" s="2452"/>
      <c r="AF255" s="2452"/>
      <c r="AG255" s="245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2441">
        <f>AD200*(1-AB255)</f>
        <v>8875247.0010524578</v>
      </c>
      <c r="AH257" s="2441"/>
      <c r="AI257" s="2441"/>
      <c r="AJ257" s="2441"/>
      <c r="AK257" s="2441"/>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2441">
        <f>'Sources and Uses Budget'!C105</f>
        <v>87154721.000000015</v>
      </c>
      <c r="AH258" s="2441"/>
      <c r="AI258" s="2441"/>
      <c r="AJ258" s="2441"/>
      <c r="AK258" s="244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442">
        <f>ROUNDDOWN(IF(AND(C281="Yes",AK78=10),((AG257*2)/AG258),AG257/AG258),2)</f>
        <v>0.2</v>
      </c>
      <c r="AH259" s="2442"/>
      <c r="AI259" s="2442"/>
      <c r="AJ259" s="2442"/>
      <c r="AK259" s="2442"/>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443">
        <f>IFERROR(IF(AG259=0,0,IF((AG259*100)&gt;8,8,(AG259*100))),0)</f>
        <v>8</v>
      </c>
      <c r="AL262" s="2443"/>
      <c r="AM262" s="2444"/>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8" customHeight="1">
      <c r="A267" s="584"/>
      <c r="B267" s="630"/>
      <c r="C267" s="2435" t="s">
        <v>553</v>
      </c>
      <c r="D267" s="2435"/>
      <c r="E267" s="581"/>
      <c r="F267" s="2592" t="s">
        <v>2333</v>
      </c>
      <c r="G267" s="2593"/>
      <c r="H267" s="2593"/>
      <c r="I267" s="2593"/>
      <c r="J267" s="2593"/>
      <c r="K267" s="2593"/>
      <c r="L267" s="2593"/>
      <c r="M267" s="2593"/>
      <c r="N267" s="2593"/>
      <c r="O267" s="2593"/>
      <c r="P267" s="2593"/>
      <c r="Q267" s="2593"/>
      <c r="R267" s="2593"/>
      <c r="S267" s="2593"/>
      <c r="T267" s="2593"/>
      <c r="U267" s="2593"/>
      <c r="V267" s="2593"/>
      <c r="W267" s="2593"/>
      <c r="X267" s="2593"/>
      <c r="Y267" s="2593"/>
      <c r="Z267" s="2593"/>
      <c r="AA267" s="2593"/>
      <c r="AB267" s="2593"/>
      <c r="AC267" s="2593"/>
      <c r="AD267" s="2594"/>
      <c r="AE267" s="584"/>
      <c r="AF267" s="669"/>
      <c r="AG267" s="2436" t="s">
        <v>1471</v>
      </c>
      <c r="AH267" s="2436"/>
      <c r="AI267" s="2436"/>
      <c r="AJ267" s="2436"/>
      <c r="AK267" s="584"/>
      <c r="AL267" s="584"/>
      <c r="AM267" s="584"/>
      <c r="AO267" s="584"/>
    </row>
    <row r="268" spans="1:52" ht="13.8" customHeight="1">
      <c r="A268" s="584"/>
      <c r="B268" s="630"/>
      <c r="C268" s="670"/>
      <c r="D268" s="584"/>
      <c r="E268" s="581"/>
      <c r="F268" s="2595"/>
      <c r="G268" s="2596"/>
      <c r="H268" s="2596"/>
      <c r="I268" s="2596"/>
      <c r="J268" s="2596"/>
      <c r="K268" s="2596"/>
      <c r="L268" s="2596"/>
      <c r="M268" s="2596"/>
      <c r="N268" s="2596"/>
      <c r="O268" s="2596"/>
      <c r="P268" s="2596"/>
      <c r="Q268" s="2596"/>
      <c r="R268" s="2596"/>
      <c r="S268" s="2596"/>
      <c r="T268" s="2596"/>
      <c r="U268" s="2596"/>
      <c r="V268" s="2596"/>
      <c r="W268" s="2596"/>
      <c r="X268" s="2596"/>
      <c r="Y268" s="2596"/>
      <c r="Z268" s="2596"/>
      <c r="AA268" s="2596"/>
      <c r="AB268" s="2596"/>
      <c r="AC268" s="2596"/>
      <c r="AD268" s="2597"/>
      <c r="AE268" s="584"/>
      <c r="AF268" s="669"/>
      <c r="AG268" s="669"/>
      <c r="AH268" s="669"/>
      <c r="AI268" s="669"/>
      <c r="AJ268" s="584"/>
      <c r="AK268" s="584"/>
      <c r="AL268" s="584"/>
      <c r="AM268" s="584"/>
      <c r="AO268" s="584"/>
    </row>
    <row r="269" spans="1:52">
      <c r="A269" s="584"/>
      <c r="B269" s="630"/>
      <c r="C269" s="670"/>
      <c r="D269" s="584"/>
      <c r="E269" s="581"/>
      <c r="F269" s="2595"/>
      <c r="G269" s="2596"/>
      <c r="H269" s="2596"/>
      <c r="I269" s="2596"/>
      <c r="J269" s="2596"/>
      <c r="K269" s="2596"/>
      <c r="L269" s="2596"/>
      <c r="M269" s="2596"/>
      <c r="N269" s="2596"/>
      <c r="O269" s="2596"/>
      <c r="P269" s="2596"/>
      <c r="Q269" s="2596"/>
      <c r="R269" s="2596"/>
      <c r="S269" s="2596"/>
      <c r="T269" s="2596"/>
      <c r="U269" s="2596"/>
      <c r="V269" s="2596"/>
      <c r="W269" s="2596"/>
      <c r="X269" s="2596"/>
      <c r="Y269" s="2596"/>
      <c r="Z269" s="2596"/>
      <c r="AA269" s="2596"/>
      <c r="AB269" s="2596"/>
      <c r="AC269" s="2596"/>
      <c r="AD269" s="2597"/>
      <c r="AE269" s="584"/>
      <c r="AF269" s="669"/>
      <c r="AG269" s="669"/>
      <c r="AH269" s="669"/>
      <c r="AI269" s="669"/>
      <c r="AJ269" s="584"/>
      <c r="AK269" s="584"/>
      <c r="AL269" s="584"/>
      <c r="AM269" s="584"/>
      <c r="AO269" s="584"/>
      <c r="AP269" s="671"/>
    </row>
    <row r="270" spans="1:52">
      <c r="A270" s="584"/>
      <c r="B270" s="630"/>
      <c r="C270" s="670"/>
      <c r="D270" s="584"/>
      <c r="E270" s="581"/>
      <c r="F270" s="2595"/>
      <c r="G270" s="2596"/>
      <c r="H270" s="2596"/>
      <c r="I270" s="2596"/>
      <c r="J270" s="2596"/>
      <c r="K270" s="2596"/>
      <c r="L270" s="2596"/>
      <c r="M270" s="2596"/>
      <c r="N270" s="2596"/>
      <c r="O270" s="2596"/>
      <c r="P270" s="2596"/>
      <c r="Q270" s="2596"/>
      <c r="R270" s="2596"/>
      <c r="S270" s="2596"/>
      <c r="T270" s="2596"/>
      <c r="U270" s="2596"/>
      <c r="V270" s="2596"/>
      <c r="W270" s="2596"/>
      <c r="X270" s="2596"/>
      <c r="Y270" s="2596"/>
      <c r="Z270" s="2596"/>
      <c r="AA270" s="2596"/>
      <c r="AB270" s="2596"/>
      <c r="AC270" s="2596"/>
      <c r="AD270" s="2597"/>
      <c r="AE270" s="584"/>
      <c r="AF270" s="669"/>
      <c r="AG270" s="669"/>
      <c r="AH270" s="669"/>
      <c r="AI270" s="669"/>
      <c r="AJ270" s="584"/>
      <c r="AK270" s="584"/>
      <c r="AL270" s="584"/>
      <c r="AM270" s="584"/>
      <c r="AO270" s="584"/>
      <c r="AP270" s="671"/>
    </row>
    <row r="271" spans="1:52" ht="13.8" customHeight="1">
      <c r="A271" s="584"/>
      <c r="B271" s="630"/>
      <c r="C271" s="2437"/>
      <c r="D271" s="2437"/>
      <c r="E271" s="581"/>
      <c r="F271" s="2598"/>
      <c r="G271" s="2599"/>
      <c r="H271" s="2599"/>
      <c r="I271" s="2599"/>
      <c r="J271" s="2599"/>
      <c r="K271" s="2599"/>
      <c r="L271" s="2599"/>
      <c r="M271" s="2599"/>
      <c r="N271" s="2599"/>
      <c r="O271" s="2599"/>
      <c r="P271" s="2599"/>
      <c r="Q271" s="2599"/>
      <c r="R271" s="2599"/>
      <c r="S271" s="2599"/>
      <c r="T271" s="2599"/>
      <c r="U271" s="2599"/>
      <c r="V271" s="2599"/>
      <c r="W271" s="2599"/>
      <c r="X271" s="2599"/>
      <c r="Y271" s="2599"/>
      <c r="Z271" s="2599"/>
      <c r="AA271" s="2599"/>
      <c r="AB271" s="2599"/>
      <c r="AC271" s="2599"/>
      <c r="AD271" s="2600"/>
      <c r="AE271" s="584"/>
      <c r="AF271" s="669"/>
      <c r="AG271" s="2436"/>
      <c r="AH271" s="2436"/>
      <c r="AI271" s="2436"/>
      <c r="AJ271" s="2436"/>
      <c r="AK271" s="584"/>
      <c r="AL271" s="584"/>
      <c r="AM271" s="584"/>
    </row>
    <row r="272" spans="1:52" ht="13.8"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443">
        <f>IF($C$267="yes",10,0)</f>
        <v>10</v>
      </c>
      <c r="AL274" s="2443"/>
      <c r="AM274" s="2444"/>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4" t="s">
        <v>1490</v>
      </c>
      <c r="B281" s="1674"/>
      <c r="C281" s="2431" t="s">
        <v>553</v>
      </c>
      <c r="D281" s="2435"/>
      <c r="E281" s="581"/>
      <c r="F281" s="2463" t="s">
        <v>1491</v>
      </c>
      <c r="G281" s="2464"/>
      <c r="H281" s="2464"/>
      <c r="I281" s="2464"/>
      <c r="J281" s="2464"/>
      <c r="K281" s="2464"/>
      <c r="L281" s="2464"/>
      <c r="M281" s="2464"/>
      <c r="N281" s="2464"/>
      <c r="O281" s="2464"/>
      <c r="P281" s="2464"/>
      <c r="Q281" s="2464"/>
      <c r="R281" s="2464"/>
      <c r="S281" s="2464"/>
      <c r="T281" s="2464"/>
      <c r="U281" s="2464"/>
      <c r="V281" s="2464"/>
      <c r="W281" s="2464"/>
      <c r="X281" s="2464"/>
      <c r="Y281" s="2464"/>
      <c r="Z281" s="2464"/>
      <c r="AA281" s="2464"/>
      <c r="AB281" s="2464"/>
      <c r="AC281" s="2464"/>
      <c r="AD281" s="2465"/>
      <c r="AE281" s="676"/>
      <c r="AF281" s="584"/>
      <c r="AG281" s="2466" t="s">
        <v>2326</v>
      </c>
      <c r="AH281" s="2466"/>
      <c r="AI281" s="2466"/>
      <c r="AJ281" s="2466"/>
      <c r="AK281" s="2466"/>
      <c r="AL281" s="584"/>
      <c r="AM281" s="584"/>
      <c r="AN281" s="73"/>
      <c r="AO281" s="14"/>
      <c r="AP281" s="30"/>
      <c r="AS281" s="604"/>
      <c r="AT281" s="604"/>
      <c r="AU281" s="604"/>
      <c r="AV281" s="32"/>
      <c r="AW281" s="32"/>
    </row>
    <row r="282" spans="1:49">
      <c r="A282" s="674"/>
      <c r="B282" s="630"/>
      <c r="F282" s="2457"/>
      <c r="G282" s="2458"/>
      <c r="H282" s="2458"/>
      <c r="I282" s="2458"/>
      <c r="J282" s="2458"/>
      <c r="K282" s="2458"/>
      <c r="L282" s="2458"/>
      <c r="M282" s="2458"/>
      <c r="N282" s="2458"/>
      <c r="O282" s="2458"/>
      <c r="P282" s="2458"/>
      <c r="Q282" s="2458"/>
      <c r="R282" s="2458"/>
      <c r="S282" s="2458"/>
      <c r="T282" s="2458"/>
      <c r="U282" s="2458"/>
      <c r="V282" s="2458"/>
      <c r="W282" s="2458"/>
      <c r="X282" s="2458"/>
      <c r="Y282" s="2458"/>
      <c r="Z282" s="2458"/>
      <c r="AA282" s="2458"/>
      <c r="AB282" s="2458"/>
      <c r="AC282" s="2458"/>
      <c r="AD282" s="2459"/>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2457"/>
      <c r="G283" s="2458"/>
      <c r="H283" s="2458"/>
      <c r="I283" s="2458"/>
      <c r="J283" s="2458"/>
      <c r="K283" s="2458"/>
      <c r="L283" s="2458"/>
      <c r="M283" s="2458"/>
      <c r="N283" s="2458"/>
      <c r="O283" s="2458"/>
      <c r="P283" s="2458"/>
      <c r="Q283" s="2458"/>
      <c r="R283" s="2458"/>
      <c r="S283" s="2458"/>
      <c r="T283" s="2458"/>
      <c r="U283" s="2458"/>
      <c r="V283" s="2458"/>
      <c r="W283" s="2458"/>
      <c r="X283" s="2458"/>
      <c r="Y283" s="2458"/>
      <c r="Z283" s="2458"/>
      <c r="AA283" s="2458"/>
      <c r="AB283" s="2458"/>
      <c r="AC283" s="2458"/>
      <c r="AD283" s="2459"/>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2457" t="s">
        <v>2334</v>
      </c>
      <c r="G284" s="2458"/>
      <c r="H284" s="2458"/>
      <c r="I284" s="2458"/>
      <c r="J284" s="2458"/>
      <c r="K284" s="2458"/>
      <c r="L284" s="2458"/>
      <c r="M284" s="2458"/>
      <c r="N284" s="2458"/>
      <c r="O284" s="2458"/>
      <c r="P284" s="2458"/>
      <c r="Q284" s="2458"/>
      <c r="R284" s="2458"/>
      <c r="S284" s="2458"/>
      <c r="T284" s="2458"/>
      <c r="U284" s="2458"/>
      <c r="V284" s="2458"/>
      <c r="W284" s="2458"/>
      <c r="X284" s="2458"/>
      <c r="Y284" s="2458"/>
      <c r="Z284" s="2458"/>
      <c r="AA284" s="2458"/>
      <c r="AB284" s="2458"/>
      <c r="AC284" s="2458"/>
      <c r="AD284" s="2459"/>
      <c r="AE284" s="676"/>
      <c r="AF284" s="585"/>
      <c r="AH284" s="585"/>
      <c r="AI284" s="585"/>
      <c r="AJ284" s="584"/>
      <c r="AK284" s="584"/>
      <c r="AL284" s="584"/>
      <c r="AM284" s="584"/>
      <c r="AN284" s="73"/>
      <c r="AO284" s="14"/>
      <c r="AP284" s="645">
        <f>MAX(AP282,AP283)</f>
        <v>10</v>
      </c>
      <c r="AQ284" s="608" t="s">
        <v>1424</v>
      </c>
      <c r="AS284" s="604"/>
      <c r="AT284" s="604"/>
      <c r="AU284" s="604"/>
      <c r="AV284" s="32"/>
      <c r="AW284" s="32"/>
    </row>
    <row r="285" spans="1:49">
      <c r="A285" s="674"/>
      <c r="B285" s="630"/>
      <c r="F285" s="2457"/>
      <c r="G285" s="2458"/>
      <c r="H285" s="2458"/>
      <c r="I285" s="2458"/>
      <c r="J285" s="2458"/>
      <c r="K285" s="2458"/>
      <c r="L285" s="2458"/>
      <c r="M285" s="2458"/>
      <c r="N285" s="2458"/>
      <c r="O285" s="2458"/>
      <c r="P285" s="2458"/>
      <c r="Q285" s="2458"/>
      <c r="R285" s="2458"/>
      <c r="S285" s="2458"/>
      <c r="T285" s="2458"/>
      <c r="U285" s="2458"/>
      <c r="V285" s="2458"/>
      <c r="W285" s="2458"/>
      <c r="X285" s="2458"/>
      <c r="Y285" s="2458"/>
      <c r="Z285" s="2458"/>
      <c r="AA285" s="2458"/>
      <c r="AB285" s="2458"/>
      <c r="AC285" s="2458"/>
      <c r="AD285" s="245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2457" t="s">
        <v>1492</v>
      </c>
      <c r="G286" s="2458"/>
      <c r="H286" s="2458"/>
      <c r="I286" s="2458"/>
      <c r="J286" s="2458"/>
      <c r="K286" s="2458"/>
      <c r="L286" s="2458"/>
      <c r="M286" s="2458"/>
      <c r="N286" s="2458"/>
      <c r="O286" s="2458"/>
      <c r="P286" s="2458"/>
      <c r="Q286" s="2458"/>
      <c r="R286" s="2458"/>
      <c r="S286" s="2458"/>
      <c r="T286" s="2458"/>
      <c r="U286" s="2458"/>
      <c r="V286" s="2458"/>
      <c r="W286" s="2458"/>
      <c r="X286" s="2458"/>
      <c r="Y286" s="2458"/>
      <c r="Z286" s="2458"/>
      <c r="AA286" s="2458"/>
      <c r="AB286" s="2458"/>
      <c r="AC286" s="2458"/>
      <c r="AD286" s="245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2457"/>
      <c r="G287" s="2458"/>
      <c r="H287" s="2458"/>
      <c r="I287" s="2458"/>
      <c r="J287" s="2458"/>
      <c r="K287" s="2458"/>
      <c r="L287" s="2458"/>
      <c r="M287" s="2458"/>
      <c r="N287" s="2458"/>
      <c r="O287" s="2458"/>
      <c r="P287" s="2458"/>
      <c r="Q287" s="2458"/>
      <c r="R287" s="2458"/>
      <c r="S287" s="2458"/>
      <c r="T287" s="2458"/>
      <c r="U287" s="2458"/>
      <c r="V287" s="2458"/>
      <c r="W287" s="2458"/>
      <c r="X287" s="2458"/>
      <c r="Y287" s="2458"/>
      <c r="Z287" s="2458"/>
      <c r="AA287" s="2458"/>
      <c r="AB287" s="2458"/>
      <c r="AC287" s="2458"/>
      <c r="AD287" s="245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2457" t="s">
        <v>1493</v>
      </c>
      <c r="G288" s="2458"/>
      <c r="H288" s="2458"/>
      <c r="I288" s="2458"/>
      <c r="J288" s="2458"/>
      <c r="K288" s="2458"/>
      <c r="L288" s="2458"/>
      <c r="M288" s="2458"/>
      <c r="N288" s="2458"/>
      <c r="O288" s="2458"/>
      <c r="P288" s="2458"/>
      <c r="Q288" s="2458"/>
      <c r="R288" s="2458"/>
      <c r="S288" s="2458"/>
      <c r="T288" s="2458"/>
      <c r="U288" s="2458"/>
      <c r="V288" s="2458"/>
      <c r="W288" s="2458"/>
      <c r="X288" s="2458"/>
      <c r="Y288" s="2458"/>
      <c r="Z288" s="2458"/>
      <c r="AA288" s="2458"/>
      <c r="AB288" s="2458"/>
      <c r="AC288" s="2458"/>
      <c r="AD288" s="245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2460"/>
      <c r="G289" s="2461"/>
      <c r="H289" s="2461"/>
      <c r="I289" s="2461"/>
      <c r="J289" s="2461"/>
      <c r="K289" s="2461"/>
      <c r="L289" s="2461"/>
      <c r="M289" s="2461"/>
      <c r="N289" s="2461"/>
      <c r="O289" s="2461"/>
      <c r="P289" s="2461"/>
      <c r="Q289" s="2461"/>
      <c r="R289" s="2461"/>
      <c r="S289" s="2461"/>
      <c r="T289" s="2461"/>
      <c r="U289" s="2461"/>
      <c r="V289" s="2461"/>
      <c r="W289" s="2461"/>
      <c r="X289" s="2461"/>
      <c r="Y289" s="2461"/>
      <c r="Z289" s="2461"/>
      <c r="AA289" s="2461"/>
      <c r="AB289" s="2461"/>
      <c r="AC289" s="2461"/>
      <c r="AD289" s="246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4" t="s">
        <v>1494</v>
      </c>
      <c r="B291" s="1674"/>
      <c r="C291" s="2435" t="s">
        <v>599</v>
      </c>
      <c r="D291" s="2435"/>
      <c r="E291" s="581"/>
      <c r="F291" s="678" t="s">
        <v>2327</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369" t="s">
        <v>2328</v>
      </c>
      <c r="G292" s="2370"/>
      <c r="H292" s="2370"/>
      <c r="I292" s="2370"/>
      <c r="J292" s="2370"/>
      <c r="K292" s="2370"/>
      <c r="L292" s="2370"/>
      <c r="M292" s="2370"/>
      <c r="N292" s="2370"/>
      <c r="O292" s="2370"/>
      <c r="P292" s="2370"/>
      <c r="Q292" s="2370"/>
      <c r="R292" s="2370"/>
      <c r="S292" s="2370"/>
      <c r="T292" s="2370"/>
      <c r="U292" s="2370"/>
      <c r="V292" s="2370"/>
      <c r="W292" s="2370"/>
      <c r="X292" s="2370"/>
      <c r="Y292" s="2370"/>
      <c r="Z292" s="2370"/>
      <c r="AA292" s="2370"/>
      <c r="AB292" s="2370"/>
      <c r="AC292" s="2370"/>
      <c r="AD292" s="2371"/>
      <c r="AE292" s="585"/>
      <c r="AF292" s="585"/>
      <c r="AG292" s="585"/>
      <c r="AH292" s="585"/>
      <c r="AI292" s="585"/>
      <c r="AJ292" s="584"/>
      <c r="AK292" s="584"/>
      <c r="AL292" s="584"/>
      <c r="AM292" s="584"/>
      <c r="AR292" s="682"/>
    </row>
    <row r="293" spans="1:49" ht="15" customHeight="1">
      <c r="A293" s="584"/>
      <c r="B293" s="585"/>
      <c r="C293" s="584"/>
      <c r="D293" s="585"/>
      <c r="E293" s="584"/>
      <c r="F293" s="2369"/>
      <c r="G293" s="2370"/>
      <c r="H293" s="2370"/>
      <c r="I293" s="2370"/>
      <c r="J293" s="2370"/>
      <c r="K293" s="2370"/>
      <c r="L293" s="2370"/>
      <c r="M293" s="2370"/>
      <c r="N293" s="2370"/>
      <c r="O293" s="2370"/>
      <c r="P293" s="2370"/>
      <c r="Q293" s="2370"/>
      <c r="R293" s="2370"/>
      <c r="S293" s="2370"/>
      <c r="T293" s="2370"/>
      <c r="U293" s="2370"/>
      <c r="V293" s="2370"/>
      <c r="W293" s="2370"/>
      <c r="X293" s="2370"/>
      <c r="Y293" s="2370"/>
      <c r="Z293" s="2370"/>
      <c r="AA293" s="2370"/>
      <c r="AB293" s="2370"/>
      <c r="AC293" s="2370"/>
      <c r="AD293" s="2371"/>
      <c r="AE293" s="585"/>
      <c r="AF293" s="585"/>
      <c r="AG293" s="585"/>
      <c r="AH293" s="585"/>
      <c r="AI293" s="585"/>
      <c r="AJ293" s="584"/>
      <c r="AK293" s="584"/>
      <c r="AL293" s="584"/>
      <c r="AM293" s="584"/>
      <c r="AR293" s="682"/>
    </row>
    <row r="294" spans="1:49">
      <c r="A294" s="584"/>
      <c r="B294" s="585"/>
      <c r="C294" s="584"/>
      <c r="D294" s="585"/>
      <c r="E294" s="584"/>
      <c r="F294" s="2369"/>
      <c r="G294" s="2370"/>
      <c r="H294" s="2370"/>
      <c r="I294" s="2370"/>
      <c r="J294" s="2370"/>
      <c r="K294" s="2370"/>
      <c r="L294" s="2370"/>
      <c r="M294" s="2370"/>
      <c r="N294" s="2370"/>
      <c r="O294" s="2370"/>
      <c r="P294" s="2370"/>
      <c r="Q294" s="2370"/>
      <c r="R294" s="2370"/>
      <c r="S294" s="2370"/>
      <c r="T294" s="2370"/>
      <c r="U294" s="2370"/>
      <c r="V294" s="2370"/>
      <c r="W294" s="2370"/>
      <c r="X294" s="2370"/>
      <c r="Y294" s="2370"/>
      <c r="Z294" s="2370"/>
      <c r="AA294" s="2370"/>
      <c r="AB294" s="2370"/>
      <c r="AC294" s="2370"/>
      <c r="AD294" s="2371"/>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366"/>
      <c r="G295" s="2367"/>
      <c r="H295" s="2367"/>
      <c r="I295" s="2367"/>
      <c r="J295" s="2367"/>
      <c r="K295" s="2367"/>
      <c r="L295" s="2367"/>
      <c r="M295" s="2367"/>
      <c r="N295" s="2367"/>
      <c r="O295" s="2367"/>
      <c r="P295" s="2367"/>
      <c r="Q295" s="2367"/>
      <c r="R295" s="2367"/>
      <c r="S295" s="2367"/>
      <c r="T295" s="2367"/>
      <c r="U295" s="2367"/>
      <c r="V295" s="2367"/>
      <c r="W295" s="2367"/>
      <c r="X295" s="2367"/>
      <c r="Y295" s="2367"/>
      <c r="Z295" s="2367"/>
      <c r="AA295" s="2367"/>
      <c r="AB295" s="2367"/>
      <c r="AC295" s="2367"/>
      <c r="AD295" s="236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4" t="s">
        <v>1497</v>
      </c>
      <c r="B299" s="1674"/>
      <c r="C299" s="2435" t="s">
        <v>599</v>
      </c>
      <c r="D299" s="2435"/>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2457" t="s">
        <v>2335</v>
      </c>
      <c r="G300" s="2458"/>
      <c r="H300" s="2458"/>
      <c r="I300" s="2458"/>
      <c r="J300" s="2458"/>
      <c r="K300" s="2458"/>
      <c r="L300" s="2458"/>
      <c r="M300" s="2458"/>
      <c r="N300" s="2458"/>
      <c r="O300" s="2458"/>
      <c r="P300" s="2458"/>
      <c r="Q300" s="2458"/>
      <c r="R300" s="2458"/>
      <c r="S300" s="2458"/>
      <c r="T300" s="2458"/>
      <c r="U300" s="2458"/>
      <c r="V300" s="2458"/>
      <c r="W300" s="2458"/>
      <c r="X300" s="2458"/>
      <c r="Y300" s="2458"/>
      <c r="Z300" s="2458"/>
      <c r="AA300" s="2458"/>
      <c r="AB300" s="2458"/>
      <c r="AC300" s="2458"/>
      <c r="AD300" s="2459"/>
      <c r="AE300" s="585"/>
      <c r="AF300" s="585"/>
      <c r="AG300" s="573"/>
      <c r="AH300" s="585"/>
      <c r="AI300" s="585"/>
      <c r="AJ300" s="584"/>
      <c r="AK300" s="584"/>
      <c r="AL300" s="584"/>
      <c r="AM300" s="584"/>
      <c r="AN300" s="73"/>
      <c r="AO300" s="14"/>
      <c r="AP300" s="591" t="s">
        <v>1289</v>
      </c>
    </row>
    <row r="301" spans="1:49" hidden="1">
      <c r="F301" s="2457"/>
      <c r="G301" s="2458"/>
      <c r="H301" s="2458"/>
      <c r="I301" s="2458"/>
      <c r="J301" s="2458"/>
      <c r="K301" s="2458"/>
      <c r="L301" s="2458"/>
      <c r="M301" s="2458"/>
      <c r="N301" s="2458"/>
      <c r="O301" s="2458"/>
      <c r="P301" s="2458"/>
      <c r="Q301" s="2458"/>
      <c r="R301" s="2458"/>
      <c r="S301" s="2458"/>
      <c r="T301" s="2458"/>
      <c r="U301" s="2458"/>
      <c r="V301" s="2458"/>
      <c r="W301" s="2458"/>
      <c r="X301" s="2458"/>
      <c r="Y301" s="2458"/>
      <c r="Z301" s="2458"/>
      <c r="AA301" s="2458"/>
      <c r="AB301" s="2458"/>
      <c r="AC301" s="2458"/>
      <c r="AD301" s="2459"/>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467" t="s">
        <v>1289</v>
      </c>
      <c r="G305" s="2468"/>
      <c r="H305" s="2468"/>
      <c r="I305" s="2468"/>
      <c r="J305" s="2468"/>
      <c r="K305" s="2468"/>
      <c r="L305" s="2468"/>
      <c r="M305" s="2468"/>
      <c r="N305" s="2468"/>
      <c r="O305" s="2468"/>
      <c r="P305" s="2468"/>
      <c r="Q305" s="2468"/>
      <c r="R305" s="2468"/>
      <c r="S305" s="2468"/>
      <c r="T305" s="2468"/>
      <c r="U305" s="2468"/>
      <c r="V305" s="2468"/>
      <c r="W305" s="2468"/>
      <c r="X305" s="2468"/>
      <c r="Y305" s="2468"/>
      <c r="Z305" s="2468"/>
      <c r="AA305" s="2468"/>
      <c r="AB305" s="2468"/>
      <c r="AC305" s="2468"/>
      <c r="AD305" s="2469"/>
      <c r="AE305" s="676"/>
      <c r="AF305" s="676"/>
      <c r="AG305" s="676"/>
      <c r="AH305" s="676"/>
      <c r="AI305" s="676"/>
      <c r="AJ305" s="676"/>
      <c r="AK305" s="676"/>
      <c r="AL305" s="584"/>
      <c r="AM305" s="584"/>
      <c r="AN305" s="73"/>
      <c r="AO305" s="14"/>
      <c r="AP305" s="30"/>
    </row>
    <row r="306" spans="1:42" hidden="1">
      <c r="A306" s="584"/>
      <c r="B306" s="585"/>
      <c r="C306" s="764"/>
      <c r="D306" s="764"/>
      <c r="E306" s="581"/>
      <c r="F306" s="2467"/>
      <c r="G306" s="2468"/>
      <c r="H306" s="2468"/>
      <c r="I306" s="2468"/>
      <c r="J306" s="2468"/>
      <c r="K306" s="2468"/>
      <c r="L306" s="2468"/>
      <c r="M306" s="2468"/>
      <c r="N306" s="2468"/>
      <c r="O306" s="2468"/>
      <c r="P306" s="2468"/>
      <c r="Q306" s="2468"/>
      <c r="R306" s="2468"/>
      <c r="S306" s="2468"/>
      <c r="T306" s="2468"/>
      <c r="U306" s="2468"/>
      <c r="V306" s="2468"/>
      <c r="W306" s="2468"/>
      <c r="X306" s="2468"/>
      <c r="Y306" s="2468"/>
      <c r="Z306" s="2468"/>
      <c r="AA306" s="2468"/>
      <c r="AB306" s="2468"/>
      <c r="AC306" s="2468"/>
      <c r="AD306" s="2469"/>
      <c r="AE306" s="585"/>
      <c r="AF306" s="585"/>
      <c r="AG306" s="573"/>
      <c r="AH306" s="585"/>
      <c r="AI306" s="585"/>
      <c r="AJ306" s="584"/>
      <c r="AK306" s="584"/>
      <c r="AL306" s="584"/>
      <c r="AM306" s="584"/>
      <c r="AN306" s="73"/>
      <c r="AO306" s="14"/>
      <c r="AP306" s="30"/>
    </row>
    <row r="307" spans="1:42" hidden="1">
      <c r="A307" s="584"/>
      <c r="B307" s="585"/>
      <c r="C307" s="764"/>
      <c r="D307" s="764"/>
      <c r="E307" s="581"/>
      <c r="F307" s="2467"/>
      <c r="G307" s="2468"/>
      <c r="H307" s="2468"/>
      <c r="I307" s="2468"/>
      <c r="J307" s="2468"/>
      <c r="K307" s="2468"/>
      <c r="L307" s="2468"/>
      <c r="M307" s="2468"/>
      <c r="N307" s="2468"/>
      <c r="O307" s="2468"/>
      <c r="P307" s="2468"/>
      <c r="Q307" s="2468"/>
      <c r="R307" s="2468"/>
      <c r="S307" s="2468"/>
      <c r="T307" s="2468"/>
      <c r="U307" s="2468"/>
      <c r="V307" s="2468"/>
      <c r="W307" s="2468"/>
      <c r="X307" s="2468"/>
      <c r="Y307" s="2468"/>
      <c r="Z307" s="2468"/>
      <c r="AA307" s="2468"/>
      <c r="AB307" s="2468"/>
      <c r="AC307" s="2468"/>
      <c r="AD307" s="2469"/>
      <c r="AE307" s="585"/>
      <c r="AF307" s="585"/>
      <c r="AG307" s="573"/>
      <c r="AH307" s="585"/>
      <c r="AI307" s="585"/>
      <c r="AJ307" s="584"/>
      <c r="AK307" s="584"/>
      <c r="AL307" s="584"/>
      <c r="AM307" s="584"/>
      <c r="AN307" s="73"/>
      <c r="AO307" s="14"/>
      <c r="AP307" s="30"/>
    </row>
    <row r="308" spans="1:42" hidden="1">
      <c r="A308" s="584"/>
      <c r="B308" s="585"/>
      <c r="C308" s="764"/>
      <c r="D308" s="764"/>
      <c r="E308" s="581"/>
      <c r="F308" s="2467"/>
      <c r="G308" s="2468"/>
      <c r="H308" s="2468"/>
      <c r="I308" s="2468"/>
      <c r="J308" s="2468"/>
      <c r="K308" s="2468"/>
      <c r="L308" s="2468"/>
      <c r="M308" s="2468"/>
      <c r="N308" s="2468"/>
      <c r="O308" s="2468"/>
      <c r="P308" s="2468"/>
      <c r="Q308" s="2468"/>
      <c r="R308" s="2468"/>
      <c r="S308" s="2468"/>
      <c r="T308" s="2468"/>
      <c r="U308" s="2468"/>
      <c r="V308" s="2468"/>
      <c r="W308" s="2468"/>
      <c r="X308" s="2468"/>
      <c r="Y308" s="2468"/>
      <c r="Z308" s="2468"/>
      <c r="AA308" s="2468"/>
      <c r="AB308" s="2468"/>
      <c r="AC308" s="2468"/>
      <c r="AD308" s="2469"/>
      <c r="AE308" s="585"/>
      <c r="AF308" s="585"/>
      <c r="AG308" s="573"/>
      <c r="AH308" s="585"/>
      <c r="AI308" s="585"/>
      <c r="AJ308" s="584"/>
      <c r="AK308" s="584"/>
      <c r="AL308" s="584"/>
      <c r="AM308" s="584"/>
      <c r="AN308" s="73"/>
      <c r="AO308" s="14"/>
      <c r="AP308" s="30"/>
    </row>
    <row r="309" spans="1:42" hidden="1">
      <c r="A309" s="584"/>
      <c r="B309" s="585"/>
      <c r="C309" s="764"/>
      <c r="D309" s="764"/>
      <c r="E309" s="581"/>
      <c r="F309" s="2470"/>
      <c r="G309" s="2471"/>
      <c r="H309" s="2471"/>
      <c r="I309" s="2471"/>
      <c r="J309" s="2471"/>
      <c r="K309" s="2471"/>
      <c r="L309" s="2471"/>
      <c r="M309" s="2471"/>
      <c r="N309" s="2471"/>
      <c r="O309" s="2471"/>
      <c r="P309" s="2471"/>
      <c r="Q309" s="2471"/>
      <c r="R309" s="2471"/>
      <c r="S309" s="2471"/>
      <c r="T309" s="2471"/>
      <c r="U309" s="2471"/>
      <c r="V309" s="2471"/>
      <c r="W309" s="2471"/>
      <c r="X309" s="2471"/>
      <c r="Y309" s="2471"/>
      <c r="Z309" s="2471"/>
      <c r="AA309" s="2471"/>
      <c r="AB309" s="2471"/>
      <c r="AC309" s="2471"/>
      <c r="AD309" s="247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2473" t="s">
        <v>1289</v>
      </c>
      <c r="J313" s="2473"/>
      <c r="K313" s="2473"/>
      <c r="L313" s="2473"/>
      <c r="M313" s="2473"/>
      <c r="N313" s="2473"/>
      <c r="O313" s="2473"/>
      <c r="P313" s="2473"/>
      <c r="Q313" s="2473"/>
      <c r="R313" s="2473"/>
      <c r="S313" s="2473"/>
      <c r="T313" s="2473"/>
      <c r="U313" s="2473"/>
      <c r="V313" s="2473"/>
      <c r="W313" s="2473"/>
      <c r="X313" s="2473"/>
      <c r="Y313" s="2473"/>
      <c r="Z313" s="2473"/>
      <c r="AA313" s="2473"/>
      <c r="AB313" s="2473"/>
      <c r="AC313" s="2473"/>
      <c r="AD313" s="2474"/>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473"/>
      <c r="J314" s="2473"/>
      <c r="K314" s="2473"/>
      <c r="L314" s="2473"/>
      <c r="M314" s="2473"/>
      <c r="N314" s="2473"/>
      <c r="O314" s="2473"/>
      <c r="P314" s="2473"/>
      <c r="Q314" s="2473"/>
      <c r="R314" s="2473"/>
      <c r="S314" s="2473"/>
      <c r="T314" s="2473"/>
      <c r="U314" s="2473"/>
      <c r="V314" s="2473"/>
      <c r="W314" s="2473"/>
      <c r="X314" s="2473"/>
      <c r="Y314" s="2473"/>
      <c r="Z314" s="2473"/>
      <c r="AA314" s="2473"/>
      <c r="AB314" s="2473"/>
      <c r="AC314" s="2473"/>
      <c r="AD314" s="2474"/>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473"/>
      <c r="J315" s="2473"/>
      <c r="K315" s="2473"/>
      <c r="L315" s="2473"/>
      <c r="M315" s="2473"/>
      <c r="N315" s="2473"/>
      <c r="O315" s="2473"/>
      <c r="P315" s="2473"/>
      <c r="Q315" s="2473"/>
      <c r="R315" s="2473"/>
      <c r="S315" s="2473"/>
      <c r="T315" s="2473"/>
      <c r="U315" s="2473"/>
      <c r="V315" s="2473"/>
      <c r="W315" s="2473"/>
      <c r="X315" s="2473"/>
      <c r="Y315" s="2473"/>
      <c r="Z315" s="2473"/>
      <c r="AA315" s="2473"/>
      <c r="AB315" s="2473"/>
      <c r="AC315" s="2473"/>
      <c r="AD315" s="2474"/>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475"/>
      <c r="J316" s="2475"/>
      <c r="K316" s="2475"/>
      <c r="L316" s="2475"/>
      <c r="M316" s="2475"/>
      <c r="N316" s="2475"/>
      <c r="O316" s="2475"/>
      <c r="P316" s="2475"/>
      <c r="Q316" s="2475"/>
      <c r="R316" s="2475"/>
      <c r="S316" s="2475"/>
      <c r="T316" s="2475"/>
      <c r="U316" s="2475"/>
      <c r="V316" s="2475"/>
      <c r="W316" s="2475"/>
      <c r="X316" s="2475"/>
      <c r="Y316" s="2475"/>
      <c r="Z316" s="2475"/>
      <c r="AA316" s="2475"/>
      <c r="AB316" s="2475"/>
      <c r="AC316" s="2475"/>
      <c r="AD316" s="2476"/>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473" t="s">
        <v>1289</v>
      </c>
      <c r="J318" s="2473"/>
      <c r="K318" s="2473"/>
      <c r="L318" s="2473"/>
      <c r="M318" s="2473"/>
      <c r="N318" s="2473"/>
      <c r="O318" s="2473"/>
      <c r="P318" s="2473"/>
      <c r="Q318" s="2473"/>
      <c r="R318" s="2473"/>
      <c r="S318" s="2473"/>
      <c r="T318" s="2473"/>
      <c r="U318" s="2473"/>
      <c r="V318" s="2473"/>
      <c r="W318" s="2473"/>
      <c r="X318" s="2473"/>
      <c r="Y318" s="2473"/>
      <c r="Z318" s="2473"/>
      <c r="AA318" s="2473"/>
      <c r="AB318" s="2473"/>
      <c r="AC318" s="2473"/>
      <c r="AD318" s="247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473"/>
      <c r="J319" s="2473"/>
      <c r="K319" s="2473"/>
      <c r="L319" s="2473"/>
      <c r="M319" s="2473"/>
      <c r="N319" s="2473"/>
      <c r="O319" s="2473"/>
      <c r="P319" s="2473"/>
      <c r="Q319" s="2473"/>
      <c r="R319" s="2473"/>
      <c r="S319" s="2473"/>
      <c r="T319" s="2473"/>
      <c r="U319" s="2473"/>
      <c r="V319" s="2473"/>
      <c r="W319" s="2473"/>
      <c r="X319" s="2473"/>
      <c r="Y319" s="2473"/>
      <c r="Z319" s="2473"/>
      <c r="AA319" s="2473"/>
      <c r="AB319" s="2473"/>
      <c r="AC319" s="2473"/>
      <c r="AD319" s="2474"/>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475"/>
      <c r="J320" s="2475"/>
      <c r="K320" s="2475"/>
      <c r="L320" s="2475"/>
      <c r="M320" s="2475"/>
      <c r="N320" s="2475"/>
      <c r="O320" s="2475"/>
      <c r="P320" s="2475"/>
      <c r="Q320" s="2475"/>
      <c r="R320" s="2475"/>
      <c r="S320" s="2475"/>
      <c r="T320" s="2475"/>
      <c r="U320" s="2475"/>
      <c r="V320" s="2475"/>
      <c r="W320" s="2475"/>
      <c r="X320" s="2475"/>
      <c r="Y320" s="2475"/>
      <c r="Z320" s="2475"/>
      <c r="AA320" s="2475"/>
      <c r="AB320" s="2475"/>
      <c r="AC320" s="2475"/>
      <c r="AD320" s="2476"/>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74" t="s">
        <v>1500</v>
      </c>
      <c r="B322" s="1674"/>
      <c r="C322" s="2435" t="s">
        <v>599</v>
      </c>
      <c r="D322" s="2435"/>
      <c r="E322" s="581"/>
      <c r="F322" s="2363" t="s">
        <v>2336</v>
      </c>
      <c r="G322" s="2364"/>
      <c r="H322" s="2364"/>
      <c r="I322" s="2364"/>
      <c r="J322" s="2364"/>
      <c r="K322" s="2364"/>
      <c r="L322" s="2364"/>
      <c r="M322" s="2364"/>
      <c r="N322" s="2364"/>
      <c r="O322" s="2364"/>
      <c r="P322" s="2364"/>
      <c r="Q322" s="2364"/>
      <c r="R322" s="2364"/>
      <c r="S322" s="2364"/>
      <c r="T322" s="2364"/>
      <c r="U322" s="2364"/>
      <c r="V322" s="2364"/>
      <c r="W322" s="2364"/>
      <c r="X322" s="2364"/>
      <c r="Y322" s="2364"/>
      <c r="Z322" s="2364"/>
      <c r="AA322" s="2364"/>
      <c r="AB322" s="2364"/>
      <c r="AC322" s="2364"/>
      <c r="AD322" s="2365"/>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369"/>
      <c r="G323" s="2370"/>
      <c r="H323" s="2370"/>
      <c r="I323" s="2370"/>
      <c r="J323" s="2370"/>
      <c r="K323" s="2370"/>
      <c r="L323" s="2370"/>
      <c r="M323" s="2370"/>
      <c r="N323" s="2370"/>
      <c r="O323" s="2370"/>
      <c r="P323" s="2370"/>
      <c r="Q323" s="2370"/>
      <c r="R323" s="2370"/>
      <c r="S323" s="2370"/>
      <c r="T323" s="2370"/>
      <c r="U323" s="2370"/>
      <c r="V323" s="2370"/>
      <c r="W323" s="2370"/>
      <c r="X323" s="2370"/>
      <c r="Y323" s="2370"/>
      <c r="Z323" s="2370"/>
      <c r="AA323" s="2370"/>
      <c r="AB323" s="2370"/>
      <c r="AC323" s="2370"/>
      <c r="AD323" s="2371"/>
      <c r="AE323" s="585"/>
      <c r="AF323" s="585"/>
      <c r="AG323" s="585"/>
      <c r="AH323" s="585"/>
      <c r="AI323" s="585"/>
      <c r="AJ323" s="584"/>
      <c r="AK323" s="584"/>
      <c r="AL323" s="584"/>
      <c r="AM323" s="584"/>
      <c r="AN323" s="73"/>
      <c r="AO323" s="14"/>
    </row>
    <row r="324" spans="1:44" ht="15" hidden="1" customHeight="1">
      <c r="A324" s="584"/>
      <c r="B324" s="585"/>
      <c r="C324" s="585"/>
      <c r="D324" s="585"/>
      <c r="E324" s="585"/>
      <c r="F324" s="2369"/>
      <c r="G324" s="2370"/>
      <c r="H324" s="2370"/>
      <c r="I324" s="2370"/>
      <c r="J324" s="2370"/>
      <c r="K324" s="2370"/>
      <c r="L324" s="2370"/>
      <c r="M324" s="2370"/>
      <c r="N324" s="2370"/>
      <c r="O324" s="2370"/>
      <c r="P324" s="2370"/>
      <c r="Q324" s="2370"/>
      <c r="R324" s="2370"/>
      <c r="S324" s="2370"/>
      <c r="T324" s="2370"/>
      <c r="U324" s="2370"/>
      <c r="V324" s="2370"/>
      <c r="W324" s="2370"/>
      <c r="X324" s="2370"/>
      <c r="Y324" s="2370"/>
      <c r="Z324" s="2370"/>
      <c r="AA324" s="2370"/>
      <c r="AB324" s="2370"/>
      <c r="AC324" s="2370"/>
      <c r="AD324" s="2371"/>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2438">
        <f>IF(NOT(OR(Application!M355="Yes",Application!M356="Yes")),0,AP284)</f>
        <v>10</v>
      </c>
      <c r="AL327" s="2439"/>
      <c r="AM327" s="2440"/>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855</v>
      </c>
      <c r="C330" s="570"/>
      <c r="AC330" s="573"/>
      <c r="AE330" s="2372" t="s">
        <v>1422</v>
      </c>
      <c r="AF330" s="2372"/>
      <c r="AG330" s="2372"/>
      <c r="AH330" s="2372"/>
      <c r="AI330" s="2372"/>
      <c r="AJ330" s="2372"/>
      <c r="AK330" s="2372"/>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477" t="s">
        <v>1562</v>
      </c>
      <c r="D332" s="2477"/>
      <c r="E332" s="2477"/>
      <c r="F332" s="2477"/>
      <c r="G332" s="2477"/>
      <c r="H332" s="2477"/>
      <c r="I332" s="2477"/>
      <c r="J332" s="2477"/>
      <c r="K332" s="2477"/>
      <c r="L332" s="2477"/>
      <c r="M332" s="2477"/>
      <c r="N332" s="2477"/>
      <c r="O332" s="2477"/>
      <c r="P332" s="2477"/>
      <c r="Q332" s="2477"/>
      <c r="R332" s="2477"/>
      <c r="S332" s="2477"/>
      <c r="T332" s="2477"/>
      <c r="U332" s="2477"/>
      <c r="V332" s="2477"/>
      <c r="W332" s="2477"/>
      <c r="X332" s="2477"/>
      <c r="Y332" s="2477"/>
      <c r="Z332" s="2477"/>
      <c r="AA332" s="2477"/>
      <c r="AB332" s="2477"/>
      <c r="AC332" s="2477"/>
      <c r="AD332" s="2477"/>
      <c r="AE332" s="2477"/>
      <c r="AF332" s="2477"/>
      <c r="AG332" s="2477"/>
      <c r="AH332" s="2477"/>
      <c r="AI332" s="2477"/>
      <c r="AJ332" s="2477"/>
      <c r="AK332" s="637"/>
      <c r="AL332" s="637"/>
      <c r="AM332" s="637"/>
      <c r="AN332" s="631"/>
    </row>
    <row r="333" spans="1:44" s="584" customFormat="1" ht="12.75" customHeight="1">
      <c r="A333" s="637"/>
      <c r="B333" s="645"/>
      <c r="C333" s="2477"/>
      <c r="D333" s="2477"/>
      <c r="E333" s="2477"/>
      <c r="F333" s="2477"/>
      <c r="G333" s="2477"/>
      <c r="H333" s="2477"/>
      <c r="I333" s="2477"/>
      <c r="J333" s="2477"/>
      <c r="K333" s="2477"/>
      <c r="L333" s="2477"/>
      <c r="M333" s="2477"/>
      <c r="N333" s="2477"/>
      <c r="O333" s="2477"/>
      <c r="P333" s="2477"/>
      <c r="Q333" s="2477"/>
      <c r="R333" s="2477"/>
      <c r="S333" s="2477"/>
      <c r="T333" s="2477"/>
      <c r="U333" s="2477"/>
      <c r="V333" s="2477"/>
      <c r="W333" s="2477"/>
      <c r="X333" s="2477"/>
      <c r="Y333" s="2477"/>
      <c r="Z333" s="2477"/>
      <c r="AA333" s="2477"/>
      <c r="AB333" s="2477"/>
      <c r="AC333" s="2477"/>
      <c r="AD333" s="2477"/>
      <c r="AE333" s="2477"/>
      <c r="AF333" s="2477"/>
      <c r="AG333" s="2477"/>
      <c r="AH333" s="2477"/>
      <c r="AI333" s="2477"/>
      <c r="AJ333" s="2477"/>
      <c r="AK333" s="637"/>
      <c r="AL333" s="637"/>
      <c r="AM333" s="637"/>
      <c r="AN333" s="631"/>
    </row>
    <row r="334" spans="1:44" s="584" customFormat="1" ht="12.75" customHeight="1">
      <c r="A334" s="637"/>
      <c r="B334" s="645"/>
      <c r="C334" s="2477"/>
      <c r="D334" s="2477"/>
      <c r="E334" s="2477"/>
      <c r="F334" s="2477"/>
      <c r="G334" s="2477"/>
      <c r="H334" s="2477"/>
      <c r="I334" s="2477"/>
      <c r="J334" s="2477"/>
      <c r="K334" s="2477"/>
      <c r="L334" s="2477"/>
      <c r="M334" s="2477"/>
      <c r="N334" s="2477"/>
      <c r="O334" s="2477"/>
      <c r="P334" s="2477"/>
      <c r="Q334" s="2477"/>
      <c r="R334" s="2477"/>
      <c r="S334" s="2477"/>
      <c r="T334" s="2477"/>
      <c r="U334" s="2477"/>
      <c r="V334" s="2477"/>
      <c r="W334" s="2477"/>
      <c r="X334" s="2477"/>
      <c r="Y334" s="2477"/>
      <c r="Z334" s="2477"/>
      <c r="AA334" s="2477"/>
      <c r="AB334" s="2477"/>
      <c r="AC334" s="2477"/>
      <c r="AD334" s="2477"/>
      <c r="AE334" s="2477"/>
      <c r="AF334" s="2477"/>
      <c r="AG334" s="2477"/>
      <c r="AH334" s="2477"/>
      <c r="AI334" s="2477"/>
      <c r="AJ334" s="2477"/>
      <c r="AK334" s="637"/>
      <c r="AL334" s="637"/>
      <c r="AM334" s="637"/>
      <c r="AN334" s="631"/>
      <c r="AQ334" s="604"/>
    </row>
    <row r="335" spans="1:44" s="584" customFormat="1" ht="12.75" customHeight="1">
      <c r="A335" s="637"/>
      <c r="B335" s="645"/>
      <c r="C335" s="2477"/>
      <c r="D335" s="2477"/>
      <c r="E335" s="2477"/>
      <c r="F335" s="2477"/>
      <c r="G335" s="2477"/>
      <c r="H335" s="2477"/>
      <c r="I335" s="2477"/>
      <c r="J335" s="2477"/>
      <c r="K335" s="2477"/>
      <c r="L335" s="2477"/>
      <c r="M335" s="2477"/>
      <c r="N335" s="2477"/>
      <c r="O335" s="2477"/>
      <c r="P335" s="2477"/>
      <c r="Q335" s="2477"/>
      <c r="R335" s="2477"/>
      <c r="S335" s="2477"/>
      <c r="T335" s="2477"/>
      <c r="U335" s="2477"/>
      <c r="V335" s="2477"/>
      <c r="W335" s="2477"/>
      <c r="X335" s="2477"/>
      <c r="Y335" s="2477"/>
      <c r="Z335" s="2477"/>
      <c r="AA335" s="2477"/>
      <c r="AB335" s="2477"/>
      <c r="AC335" s="2477"/>
      <c r="AD335" s="2477"/>
      <c r="AE335" s="2477"/>
      <c r="AF335" s="2477"/>
      <c r="AG335" s="2477"/>
      <c r="AH335" s="2477"/>
      <c r="AI335" s="2477"/>
      <c r="AJ335" s="2477"/>
      <c r="AK335" s="637"/>
      <c r="AL335" s="637"/>
      <c r="AM335" s="637"/>
      <c r="AN335" s="631"/>
      <c r="AQ335" s="604"/>
    </row>
    <row r="336" spans="1:44" s="584" customFormat="1" ht="12.45" customHeight="1">
      <c r="A336" s="637"/>
      <c r="B336" s="645"/>
      <c r="C336" s="2477"/>
      <c r="D336" s="2477"/>
      <c r="E336" s="2477"/>
      <c r="F336" s="2477"/>
      <c r="G336" s="2477"/>
      <c r="H336" s="2477"/>
      <c r="I336" s="2477"/>
      <c r="J336" s="2477"/>
      <c r="K336" s="2477"/>
      <c r="L336" s="2477"/>
      <c r="M336" s="2477"/>
      <c r="N336" s="2477"/>
      <c r="O336" s="2477"/>
      <c r="P336" s="2477"/>
      <c r="Q336" s="2477"/>
      <c r="R336" s="2477"/>
      <c r="S336" s="2477"/>
      <c r="T336" s="2477"/>
      <c r="U336" s="2477"/>
      <c r="V336" s="2477"/>
      <c r="W336" s="2477"/>
      <c r="X336" s="2477"/>
      <c r="Y336" s="2477"/>
      <c r="Z336" s="2477"/>
      <c r="AA336" s="2477"/>
      <c r="AB336" s="2477"/>
      <c r="AC336" s="2477"/>
      <c r="AD336" s="2477"/>
      <c r="AE336" s="2477"/>
      <c r="AF336" s="2477"/>
      <c r="AG336" s="2477"/>
      <c r="AH336" s="2477"/>
      <c r="AI336" s="2477"/>
      <c r="AJ336" s="2477"/>
      <c r="AK336" s="637"/>
      <c r="AL336" s="637"/>
      <c r="AM336" s="637"/>
      <c r="AN336" s="631"/>
      <c r="AQ336" s="604"/>
      <c r="AR336" s="604"/>
    </row>
    <row r="337" spans="1:46" s="584" customFormat="1" ht="45.75" customHeight="1">
      <c r="A337" s="637"/>
      <c r="B337" s="645"/>
      <c r="C337" s="2477" t="s">
        <v>2403</v>
      </c>
      <c r="D337" s="2477"/>
      <c r="E337" s="2477"/>
      <c r="F337" s="2477"/>
      <c r="G337" s="2477"/>
      <c r="H337" s="2477"/>
      <c r="I337" s="2477"/>
      <c r="J337" s="2477"/>
      <c r="K337" s="2477"/>
      <c r="L337" s="2477"/>
      <c r="M337" s="2477"/>
      <c r="N337" s="2477"/>
      <c r="O337" s="2477"/>
      <c r="P337" s="2477"/>
      <c r="Q337" s="2477"/>
      <c r="R337" s="2477"/>
      <c r="S337" s="2477"/>
      <c r="T337" s="2477"/>
      <c r="U337" s="2477"/>
      <c r="V337" s="2477"/>
      <c r="W337" s="2477"/>
      <c r="X337" s="2477"/>
      <c r="Y337" s="2477"/>
      <c r="Z337" s="2477"/>
      <c r="AA337" s="2477"/>
      <c r="AB337" s="2477"/>
      <c r="AC337" s="2477"/>
      <c r="AD337" s="2477"/>
      <c r="AE337" s="2477"/>
      <c r="AF337" s="2477"/>
      <c r="AG337" s="2477"/>
      <c r="AH337" s="2477"/>
      <c r="AI337" s="2477"/>
      <c r="AJ337" s="2477"/>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477" t="s">
        <v>2565</v>
      </c>
      <c r="D339" s="2477"/>
      <c r="E339" s="2477"/>
      <c r="F339" s="2477"/>
      <c r="G339" s="2477"/>
      <c r="H339" s="2477"/>
      <c r="I339" s="2477"/>
      <c r="J339" s="2477"/>
      <c r="K339" s="2477"/>
      <c r="L339" s="2477"/>
      <c r="M339" s="2477"/>
      <c r="N339" s="2477"/>
      <c r="O339" s="2477"/>
      <c r="P339" s="2477"/>
      <c r="Q339" s="2477"/>
      <c r="R339" s="2477"/>
      <c r="S339" s="2477"/>
      <c r="T339" s="2477"/>
      <c r="U339" s="2477"/>
      <c r="V339" s="2477"/>
      <c r="W339" s="2477"/>
      <c r="X339" s="2477"/>
      <c r="Y339" s="2477"/>
      <c r="Z339" s="2477"/>
      <c r="AA339" s="2477"/>
      <c r="AB339" s="2477"/>
      <c r="AC339" s="2477"/>
      <c r="AD339" s="2477"/>
      <c r="AE339" s="2477"/>
      <c r="AF339" s="2477"/>
      <c r="AG339" s="2477"/>
      <c r="AH339" s="2477"/>
      <c r="AI339" s="2477"/>
      <c r="AJ339" s="2477"/>
      <c r="AK339" s="637"/>
      <c r="AL339" s="637"/>
      <c r="AM339" s="637"/>
      <c r="AN339" s="631"/>
      <c r="AQ339" s="604"/>
      <c r="AR339" s="604"/>
    </row>
    <row r="340" spans="1:46" s="584" customFormat="1" ht="30" customHeight="1">
      <c r="A340" s="637"/>
      <c r="B340" s="645"/>
      <c r="C340" s="2477"/>
      <c r="D340" s="2477"/>
      <c r="E340" s="2477"/>
      <c r="F340" s="2477"/>
      <c r="G340" s="2477"/>
      <c r="H340" s="2477"/>
      <c r="I340" s="2477"/>
      <c r="J340" s="2477"/>
      <c r="K340" s="2477"/>
      <c r="L340" s="2477"/>
      <c r="M340" s="2477"/>
      <c r="N340" s="2477"/>
      <c r="O340" s="2477"/>
      <c r="P340" s="2477"/>
      <c r="Q340" s="2477"/>
      <c r="R340" s="2477"/>
      <c r="S340" s="2477"/>
      <c r="T340" s="2477"/>
      <c r="U340" s="2477"/>
      <c r="V340" s="2477"/>
      <c r="W340" s="2477"/>
      <c r="X340" s="2477"/>
      <c r="Y340" s="2477"/>
      <c r="Z340" s="2477"/>
      <c r="AA340" s="2477"/>
      <c r="AB340" s="2477"/>
      <c r="AC340" s="2477"/>
      <c r="AD340" s="2477"/>
      <c r="AE340" s="2477"/>
      <c r="AF340" s="2477"/>
      <c r="AG340" s="2477"/>
      <c r="AH340" s="2477"/>
      <c r="AI340" s="2477"/>
      <c r="AJ340" s="2477"/>
      <c r="AK340" s="637"/>
      <c r="AL340" s="637"/>
      <c r="AM340" s="637"/>
      <c r="AN340" s="631"/>
      <c r="AR340" s="604"/>
    </row>
    <row r="341" spans="1:46" s="584" customFormat="1" ht="12.75" customHeight="1">
      <c r="A341" s="637"/>
      <c r="B341" s="645"/>
      <c r="C341" s="2477"/>
      <c r="D341" s="2477"/>
      <c r="E341" s="2477"/>
      <c r="F341" s="2477"/>
      <c r="G341" s="2477"/>
      <c r="H341" s="2477"/>
      <c r="I341" s="2477"/>
      <c r="J341" s="2477"/>
      <c r="K341" s="2477"/>
      <c r="L341" s="2477"/>
      <c r="M341" s="2477"/>
      <c r="N341" s="2477"/>
      <c r="O341" s="2477"/>
      <c r="P341" s="2477"/>
      <c r="Q341" s="2477"/>
      <c r="R341" s="2477"/>
      <c r="S341" s="2477"/>
      <c r="T341" s="2477"/>
      <c r="U341" s="2477"/>
      <c r="V341" s="2477"/>
      <c r="W341" s="2477"/>
      <c r="X341" s="2477"/>
      <c r="Y341" s="2477"/>
      <c r="Z341" s="2477"/>
      <c r="AA341" s="2477"/>
      <c r="AB341" s="2477"/>
      <c r="AC341" s="2477"/>
      <c r="AD341" s="2477"/>
      <c r="AE341" s="2477"/>
      <c r="AF341" s="2477"/>
      <c r="AG341" s="2477"/>
      <c r="AH341" s="2477"/>
      <c r="AI341" s="2477"/>
      <c r="AJ341" s="2477"/>
      <c r="AK341" s="637"/>
      <c r="AL341" s="637"/>
      <c r="AM341" s="637"/>
      <c r="AN341" s="631"/>
      <c r="AR341" s="604"/>
    </row>
    <row r="342" spans="1:46" s="584" customFormat="1" ht="12.75" customHeight="1">
      <c r="A342" s="637"/>
      <c r="B342" s="645"/>
      <c r="C342" s="2477" t="s">
        <v>1563</v>
      </c>
      <c r="D342" s="2477"/>
      <c r="E342" s="2477"/>
      <c r="F342" s="2477"/>
      <c r="G342" s="2477"/>
      <c r="H342" s="2477"/>
      <c r="I342" s="2477"/>
      <c r="J342" s="2477"/>
      <c r="K342" s="2477"/>
      <c r="L342" s="2477"/>
      <c r="M342" s="2477"/>
      <c r="N342" s="2477"/>
      <c r="O342" s="2477"/>
      <c r="P342" s="2477"/>
      <c r="Q342" s="2477"/>
      <c r="R342" s="2477"/>
      <c r="S342" s="2477"/>
      <c r="T342" s="2477"/>
      <c r="U342" s="2477"/>
      <c r="V342" s="2477"/>
      <c r="W342" s="2477"/>
      <c r="X342" s="2477"/>
      <c r="Y342" s="2477"/>
      <c r="Z342" s="2477"/>
      <c r="AA342" s="2477"/>
      <c r="AB342" s="2477"/>
      <c r="AC342" s="2477"/>
      <c r="AD342" s="2477"/>
      <c r="AE342" s="2477"/>
      <c r="AF342" s="2477"/>
      <c r="AG342" s="2477"/>
      <c r="AH342" s="2477"/>
      <c r="AI342" s="2477"/>
      <c r="AJ342" s="2477"/>
      <c r="AK342" s="637"/>
      <c r="AL342" s="637"/>
      <c r="AM342" s="637"/>
      <c r="AN342" s="631"/>
      <c r="AQ342" s="604"/>
      <c r="AR342" s="604"/>
    </row>
    <row r="343" spans="1:46" s="584" customFormat="1" ht="12.75" customHeight="1">
      <c r="A343" s="637"/>
      <c r="B343" s="645"/>
      <c r="C343" s="2477"/>
      <c r="D343" s="2477"/>
      <c r="E343" s="2477"/>
      <c r="F343" s="2477"/>
      <c r="G343" s="2477"/>
      <c r="H343" s="2477"/>
      <c r="I343" s="2477"/>
      <c r="J343" s="2477"/>
      <c r="K343" s="2477"/>
      <c r="L343" s="2477"/>
      <c r="M343" s="2477"/>
      <c r="N343" s="2477"/>
      <c r="O343" s="2477"/>
      <c r="P343" s="2477"/>
      <c r="Q343" s="2477"/>
      <c r="R343" s="2477"/>
      <c r="S343" s="2477"/>
      <c r="T343" s="2477"/>
      <c r="U343" s="2477"/>
      <c r="V343" s="2477"/>
      <c r="W343" s="2477"/>
      <c r="X343" s="2477"/>
      <c r="Y343" s="2477"/>
      <c r="Z343" s="2477"/>
      <c r="AA343" s="2477"/>
      <c r="AB343" s="2477"/>
      <c r="AC343" s="2477"/>
      <c r="AD343" s="2477"/>
      <c r="AE343" s="2477"/>
      <c r="AF343" s="2477"/>
      <c r="AG343" s="2477"/>
      <c r="AH343" s="2477"/>
      <c r="AI343" s="2477"/>
      <c r="AJ343" s="2477"/>
      <c r="AK343" s="637"/>
      <c r="AL343" s="637"/>
      <c r="AM343" s="637"/>
      <c r="AN343" s="631"/>
      <c r="AQ343" s="604"/>
      <c r="AR343" s="604"/>
    </row>
    <row r="344" spans="1:46" s="584" customFormat="1" ht="13.2" customHeight="1">
      <c r="A344" s="637"/>
      <c r="B344" s="645"/>
      <c r="C344" s="2477"/>
      <c r="D344" s="2477"/>
      <c r="E344" s="2477"/>
      <c r="F344" s="2477"/>
      <c r="G344" s="2477"/>
      <c r="H344" s="2477"/>
      <c r="I344" s="2477"/>
      <c r="J344" s="2477"/>
      <c r="K344" s="2477"/>
      <c r="L344" s="2477"/>
      <c r="M344" s="2477"/>
      <c r="N344" s="2477"/>
      <c r="O344" s="2477"/>
      <c r="P344" s="2477"/>
      <c r="Q344" s="2477"/>
      <c r="R344" s="2477"/>
      <c r="S344" s="2477"/>
      <c r="T344" s="2477"/>
      <c r="U344" s="2477"/>
      <c r="V344" s="2477"/>
      <c r="W344" s="2477"/>
      <c r="X344" s="2477"/>
      <c r="Y344" s="2477"/>
      <c r="Z344" s="2477"/>
      <c r="AA344" s="2477"/>
      <c r="AB344" s="2477"/>
      <c r="AC344" s="2477"/>
      <c r="AD344" s="2477"/>
      <c r="AE344" s="2477"/>
      <c r="AF344" s="2477"/>
      <c r="AG344" s="2477"/>
      <c r="AH344" s="2477"/>
      <c r="AI344" s="2477"/>
      <c r="AJ344" s="2477"/>
      <c r="AK344" s="637"/>
      <c r="AL344" s="637"/>
      <c r="AM344" s="637"/>
      <c r="AN344" s="631"/>
      <c r="AQ344" s="604"/>
      <c r="AR344" s="604"/>
    </row>
    <row r="345" spans="1:46" s="584" customFormat="1" ht="12.75" customHeight="1">
      <c r="A345" s="637"/>
      <c r="B345" s="645"/>
      <c r="C345" s="2477"/>
      <c r="D345" s="2477"/>
      <c r="E345" s="2477"/>
      <c r="F345" s="2477"/>
      <c r="G345" s="2477"/>
      <c r="H345" s="2477"/>
      <c r="I345" s="2477"/>
      <c r="J345" s="2477"/>
      <c r="K345" s="2477"/>
      <c r="L345" s="2477"/>
      <c r="M345" s="2477"/>
      <c r="N345" s="2477"/>
      <c r="O345" s="2477"/>
      <c r="P345" s="2477"/>
      <c r="Q345" s="2477"/>
      <c r="R345" s="2477"/>
      <c r="S345" s="2477"/>
      <c r="T345" s="2477"/>
      <c r="U345" s="2477"/>
      <c r="V345" s="2477"/>
      <c r="W345" s="2477"/>
      <c r="X345" s="2477"/>
      <c r="Y345" s="2477"/>
      <c r="Z345" s="2477"/>
      <c r="AA345" s="2477"/>
      <c r="AB345" s="2477"/>
      <c r="AC345" s="2477"/>
      <c r="AD345" s="2477"/>
      <c r="AE345" s="2477"/>
      <c r="AF345" s="2477"/>
      <c r="AG345" s="2477"/>
      <c r="AH345" s="2477"/>
      <c r="AI345" s="2477"/>
      <c r="AJ345" s="2477"/>
      <c r="AK345" s="637"/>
      <c r="AL345" s="637"/>
      <c r="AM345" s="637"/>
      <c r="AN345" s="631"/>
      <c r="AO345" s="728"/>
      <c r="AP345" s="728"/>
      <c r="AQ345" s="604"/>
    </row>
    <row r="346" spans="1:46" s="584" customFormat="1" ht="11.7" customHeight="1">
      <c r="A346" s="637"/>
      <c r="B346" s="645"/>
      <c r="C346" s="2477"/>
      <c r="D346" s="2477"/>
      <c r="E346" s="2477"/>
      <c r="F346" s="2477"/>
      <c r="G346" s="2477"/>
      <c r="H346" s="2477"/>
      <c r="I346" s="2477"/>
      <c r="J346" s="2477"/>
      <c r="K346" s="2477"/>
      <c r="L346" s="2477"/>
      <c r="M346" s="2477"/>
      <c r="N346" s="2477"/>
      <c r="O346" s="2477"/>
      <c r="P346" s="2477"/>
      <c r="Q346" s="2477"/>
      <c r="R346" s="2477"/>
      <c r="S346" s="2477"/>
      <c r="T346" s="2477"/>
      <c r="U346" s="2477"/>
      <c r="V346" s="2477"/>
      <c r="W346" s="2477"/>
      <c r="X346" s="2477"/>
      <c r="Y346" s="2477"/>
      <c r="Z346" s="2477"/>
      <c r="AA346" s="2477"/>
      <c r="AB346" s="2477"/>
      <c r="AC346" s="2477"/>
      <c r="AD346" s="2477"/>
      <c r="AE346" s="2477"/>
      <c r="AF346" s="2477"/>
      <c r="AG346" s="2477"/>
      <c r="AH346" s="2477"/>
      <c r="AI346" s="2477"/>
      <c r="AJ346" s="2477"/>
      <c r="AK346" s="637"/>
      <c r="AL346" s="637"/>
      <c r="AM346" s="637"/>
      <c r="AN346" s="631"/>
      <c r="AO346" s="729" t="s">
        <v>112</v>
      </c>
      <c r="AP346" s="730">
        <f>IF(C370="Yes",5,0)</f>
        <v>0</v>
      </c>
      <c r="AS346" s="573" t="s">
        <v>1564</v>
      </c>
    </row>
    <row r="347" spans="1:46" s="584" customFormat="1" ht="12.75" customHeight="1">
      <c r="A347" s="637"/>
      <c r="B347" s="645"/>
      <c r="C347" s="2477"/>
      <c r="D347" s="2477"/>
      <c r="E347" s="2477"/>
      <c r="F347" s="2477"/>
      <c r="G347" s="2477"/>
      <c r="H347" s="2477"/>
      <c r="I347" s="2477"/>
      <c r="J347" s="2477"/>
      <c r="K347" s="2477"/>
      <c r="L347" s="2477"/>
      <c r="M347" s="2477"/>
      <c r="N347" s="2477"/>
      <c r="O347" s="2477"/>
      <c r="P347" s="2477"/>
      <c r="Q347" s="2477"/>
      <c r="R347" s="2477"/>
      <c r="S347" s="2477"/>
      <c r="T347" s="2477"/>
      <c r="U347" s="2477"/>
      <c r="V347" s="2477"/>
      <c r="W347" s="2477"/>
      <c r="X347" s="2477"/>
      <c r="Y347" s="2477"/>
      <c r="Z347" s="2477"/>
      <c r="AA347" s="2477"/>
      <c r="AB347" s="2477"/>
      <c r="AC347" s="2477"/>
      <c r="AD347" s="2477"/>
      <c r="AE347" s="2477"/>
      <c r="AF347" s="2477"/>
      <c r="AG347" s="2477"/>
      <c r="AH347" s="2477"/>
      <c r="AI347" s="2477"/>
      <c r="AJ347" s="2477"/>
      <c r="AK347" s="637"/>
      <c r="AL347" s="637"/>
      <c r="AM347" s="637"/>
      <c r="AN347" s="631"/>
      <c r="AO347" s="729" t="s">
        <v>113</v>
      </c>
      <c r="AP347" s="730">
        <f>IF(C378="Yes",5,0)</f>
        <v>0</v>
      </c>
      <c r="AS347" s="2498">
        <f>IF(Application!D211="Non-Targeted",(SUM(AQ355+AQ364)),AS351)</f>
        <v>10</v>
      </c>
      <c r="AT347" s="2498"/>
    </row>
    <row r="348" spans="1:46" s="584" customFormat="1" ht="12.75" customHeight="1">
      <c r="A348" s="637"/>
      <c r="B348" s="645"/>
      <c r="C348" s="2477"/>
      <c r="D348" s="2477"/>
      <c r="E348" s="2477"/>
      <c r="F348" s="2477"/>
      <c r="G348" s="2477"/>
      <c r="H348" s="2477"/>
      <c r="I348" s="2477"/>
      <c r="J348" s="2477"/>
      <c r="K348" s="2477"/>
      <c r="L348" s="2477"/>
      <c r="M348" s="2477"/>
      <c r="N348" s="2477"/>
      <c r="O348" s="2477"/>
      <c r="P348" s="2477"/>
      <c r="Q348" s="2477"/>
      <c r="R348" s="2477"/>
      <c r="S348" s="2477"/>
      <c r="T348" s="2477"/>
      <c r="U348" s="2477"/>
      <c r="V348" s="2477"/>
      <c r="W348" s="2477"/>
      <c r="X348" s="2477"/>
      <c r="Y348" s="2477"/>
      <c r="Z348" s="2477"/>
      <c r="AA348" s="2477"/>
      <c r="AB348" s="2477"/>
      <c r="AC348" s="2477"/>
      <c r="AD348" s="2477"/>
      <c r="AE348" s="2477"/>
      <c r="AF348" s="2477"/>
      <c r="AG348" s="2477"/>
      <c r="AH348" s="2477"/>
      <c r="AI348" s="2477"/>
      <c r="AJ348" s="2477"/>
      <c r="AK348" s="637"/>
      <c r="AL348" s="637"/>
      <c r="AM348" s="637"/>
      <c r="AN348" s="631"/>
      <c r="AO348" s="729" t="s">
        <v>119</v>
      </c>
      <c r="AP348" s="730">
        <f>IF(C386="Yes",7,0)</f>
        <v>0</v>
      </c>
      <c r="AS348" s="573" t="s">
        <v>1565</v>
      </c>
    </row>
    <row r="349" spans="1:46" s="584" customFormat="1" ht="12.75" customHeight="1">
      <c r="A349" s="637"/>
      <c r="B349" s="645"/>
      <c r="C349" s="2477"/>
      <c r="D349" s="2477"/>
      <c r="E349" s="2477"/>
      <c r="F349" s="2477"/>
      <c r="G349" s="2477"/>
      <c r="H349" s="2477"/>
      <c r="I349" s="2477"/>
      <c r="J349" s="2477"/>
      <c r="K349" s="2477"/>
      <c r="L349" s="2477"/>
      <c r="M349" s="2477"/>
      <c r="N349" s="2477"/>
      <c r="O349" s="2477"/>
      <c r="P349" s="2477"/>
      <c r="Q349" s="2477"/>
      <c r="R349" s="2477"/>
      <c r="S349" s="2477"/>
      <c r="T349" s="2477"/>
      <c r="U349" s="2477"/>
      <c r="V349" s="2477"/>
      <c r="W349" s="2477"/>
      <c r="X349" s="2477"/>
      <c r="Y349" s="2477"/>
      <c r="Z349" s="2477"/>
      <c r="AA349" s="2477"/>
      <c r="AB349" s="2477"/>
      <c r="AC349" s="2477"/>
      <c r="AD349" s="2477"/>
      <c r="AE349" s="2477"/>
      <c r="AF349" s="2477"/>
      <c r="AG349" s="2477"/>
      <c r="AH349" s="2477"/>
      <c r="AI349" s="2477"/>
      <c r="AJ349" s="2477"/>
      <c r="AK349" s="637"/>
      <c r="AL349" s="637"/>
      <c r="AM349" s="637"/>
      <c r="AN349" s="631"/>
      <c r="AO349" s="631"/>
      <c r="AP349" s="730">
        <f>IF(C388="Yes",5,0)</f>
        <v>5</v>
      </c>
      <c r="AS349" s="2498">
        <f>IF(AND(AQ355&gt;0,AQ364&gt;0),(AQ355+AQ364)/2,0)</f>
        <v>0</v>
      </c>
      <c r="AT349" s="2498"/>
    </row>
    <row r="350" spans="1:46" s="584" customFormat="1" ht="12.75" customHeight="1">
      <c r="A350" s="637"/>
      <c r="B350" s="645"/>
      <c r="C350" s="2477"/>
      <c r="D350" s="2477"/>
      <c r="E350" s="2477"/>
      <c r="F350" s="2477"/>
      <c r="G350" s="2477"/>
      <c r="H350" s="2477"/>
      <c r="I350" s="2477"/>
      <c r="J350" s="2477"/>
      <c r="K350" s="2477"/>
      <c r="L350" s="2477"/>
      <c r="M350" s="2477"/>
      <c r="N350" s="2477"/>
      <c r="O350" s="2477"/>
      <c r="P350" s="2477"/>
      <c r="Q350" s="2477"/>
      <c r="R350" s="2477"/>
      <c r="S350" s="2477"/>
      <c r="T350" s="2477"/>
      <c r="U350" s="2477"/>
      <c r="V350" s="2477"/>
      <c r="W350" s="2477"/>
      <c r="X350" s="2477"/>
      <c r="Y350" s="2477"/>
      <c r="Z350" s="2477"/>
      <c r="AA350" s="2477"/>
      <c r="AB350" s="2477"/>
      <c r="AC350" s="2477"/>
      <c r="AD350" s="2477"/>
      <c r="AE350" s="2477"/>
      <c r="AF350" s="2477"/>
      <c r="AG350" s="2477"/>
      <c r="AH350" s="2477"/>
      <c r="AI350" s="2477"/>
      <c r="AJ350" s="2477"/>
      <c r="AK350" s="637"/>
      <c r="AL350" s="637"/>
      <c r="AM350" s="637"/>
      <c r="AN350" s="631"/>
      <c r="AO350" s="729" t="s">
        <v>589</v>
      </c>
      <c r="AP350" s="730">
        <f>IF(C396="Yes",5,0)</f>
        <v>0</v>
      </c>
      <c r="AS350" s="573" t="s">
        <v>2067</v>
      </c>
    </row>
    <row r="351" spans="1:46" s="584" customFormat="1" ht="12.75" customHeight="1">
      <c r="A351" s="637"/>
      <c r="B351" s="645"/>
      <c r="C351" s="2499" t="s">
        <v>1566</v>
      </c>
      <c r="D351" s="2499"/>
      <c r="E351" s="2499"/>
      <c r="F351" s="2499"/>
      <c r="G351" s="2499"/>
      <c r="H351" s="2499"/>
      <c r="I351" s="2499"/>
      <c r="J351" s="2499"/>
      <c r="K351" s="2499"/>
      <c r="L351" s="2499"/>
      <c r="M351" s="2499"/>
      <c r="N351" s="2499"/>
      <c r="O351" s="2499"/>
      <c r="P351" s="2499"/>
      <c r="Q351" s="2499"/>
      <c r="R351" s="2499"/>
      <c r="S351" s="2499"/>
      <c r="T351" s="2499"/>
      <c r="U351" s="2499"/>
      <c r="V351" s="2499"/>
      <c r="W351" s="2499"/>
      <c r="X351" s="2499"/>
      <c r="Y351" s="2499"/>
      <c r="Z351" s="2499"/>
      <c r="AA351" s="2499"/>
      <c r="AB351" s="2499"/>
      <c r="AC351" s="2499"/>
      <c r="AD351" s="2499"/>
      <c r="AE351" s="2499"/>
      <c r="AF351" s="2499"/>
      <c r="AG351" s="2499"/>
      <c r="AH351" s="2499"/>
      <c r="AI351" s="2499"/>
      <c r="AJ351" s="2499"/>
      <c r="AK351" s="637"/>
      <c r="AL351" s="637"/>
      <c r="AM351" s="637"/>
      <c r="AN351" s="631"/>
      <c r="AO351" s="631"/>
      <c r="AP351" s="730">
        <f>IF(C398="Yes",3,0)</f>
        <v>0</v>
      </c>
      <c r="AS351" s="2498">
        <f>IF(AQ355=0,AQ364,AQ355)</f>
        <v>10</v>
      </c>
      <c r="AT351" s="2498"/>
    </row>
    <row r="352" spans="1:46" s="584" customFormat="1" ht="12.75" customHeight="1">
      <c r="A352" s="637"/>
      <c r="B352" s="645"/>
      <c r="C352" s="2499"/>
      <c r="D352" s="2499"/>
      <c r="E352" s="2499"/>
      <c r="F352" s="2499"/>
      <c r="G352" s="2499"/>
      <c r="H352" s="2499"/>
      <c r="I352" s="2499"/>
      <c r="J352" s="2499"/>
      <c r="K352" s="2499"/>
      <c r="L352" s="2499"/>
      <c r="M352" s="2499"/>
      <c r="N352" s="2499"/>
      <c r="O352" s="2499"/>
      <c r="P352" s="2499"/>
      <c r="Q352" s="2499"/>
      <c r="R352" s="2499"/>
      <c r="S352" s="2499"/>
      <c r="T352" s="2499"/>
      <c r="U352" s="2499"/>
      <c r="V352" s="2499"/>
      <c r="W352" s="2499"/>
      <c r="X352" s="2499"/>
      <c r="Y352" s="2499"/>
      <c r="Z352" s="2499"/>
      <c r="AA352" s="2499"/>
      <c r="AB352" s="2499"/>
      <c r="AC352" s="2499"/>
      <c r="AD352" s="2499"/>
      <c r="AE352" s="2499"/>
      <c r="AF352" s="2499"/>
      <c r="AG352" s="2499"/>
      <c r="AH352" s="2499"/>
      <c r="AI352" s="2499"/>
      <c r="AJ352" s="2499"/>
      <c r="AK352" s="637"/>
      <c r="AL352" s="637"/>
      <c r="AM352" s="637"/>
      <c r="AN352" s="631"/>
      <c r="AO352" s="729" t="s">
        <v>771</v>
      </c>
      <c r="AP352" s="730">
        <f>IF(C401="Yes",5,0)</f>
        <v>0</v>
      </c>
    </row>
    <row r="353" spans="1:81" s="584" customFormat="1" ht="12.75" customHeight="1">
      <c r="A353" s="637"/>
      <c r="B353" s="645"/>
      <c r="C353" s="2499"/>
      <c r="D353" s="2499"/>
      <c r="E353" s="2499"/>
      <c r="F353" s="2499"/>
      <c r="G353" s="2499"/>
      <c r="H353" s="2499"/>
      <c r="I353" s="2499"/>
      <c r="J353" s="2499"/>
      <c r="K353" s="2499"/>
      <c r="L353" s="2499"/>
      <c r="M353" s="2499"/>
      <c r="N353" s="2499"/>
      <c r="O353" s="2499"/>
      <c r="P353" s="2499"/>
      <c r="Q353" s="2499"/>
      <c r="R353" s="2499"/>
      <c r="S353" s="2499"/>
      <c r="T353" s="2499"/>
      <c r="U353" s="2499"/>
      <c r="V353" s="2499"/>
      <c r="W353" s="2499"/>
      <c r="X353" s="2499"/>
      <c r="Y353" s="2499"/>
      <c r="Z353" s="2499"/>
      <c r="AA353" s="2499"/>
      <c r="AB353" s="2499"/>
      <c r="AC353" s="2499"/>
      <c r="AD353" s="2499"/>
      <c r="AE353" s="2499"/>
      <c r="AF353" s="2499"/>
      <c r="AG353" s="2499"/>
      <c r="AH353" s="2499"/>
      <c r="AI353" s="2499"/>
      <c r="AJ353" s="2499"/>
      <c r="AK353" s="637"/>
      <c r="AL353" s="637"/>
      <c r="AM353" s="637"/>
      <c r="AN353" s="631"/>
      <c r="AO353" s="729" t="s">
        <v>592</v>
      </c>
      <c r="AP353" s="730">
        <f>IF(C410="Yes",5,0)</f>
        <v>5</v>
      </c>
    </row>
    <row r="354" spans="1:81" s="584" customFormat="1" ht="11.7" customHeight="1">
      <c r="A354" s="637"/>
      <c r="B354" s="645"/>
      <c r="C354" s="2499"/>
      <c r="D354" s="2499"/>
      <c r="E354" s="2499"/>
      <c r="F354" s="2499"/>
      <c r="G354" s="2499"/>
      <c r="H354" s="2499"/>
      <c r="I354" s="2499"/>
      <c r="J354" s="2499"/>
      <c r="K354" s="2499"/>
      <c r="L354" s="2499"/>
      <c r="M354" s="2499"/>
      <c r="N354" s="2499"/>
      <c r="O354" s="2499"/>
      <c r="P354" s="2499"/>
      <c r="Q354" s="2499"/>
      <c r="R354" s="2499"/>
      <c r="S354" s="2499"/>
      <c r="T354" s="2499"/>
      <c r="U354" s="2499"/>
      <c r="V354" s="2499"/>
      <c r="W354" s="2499"/>
      <c r="X354" s="2499"/>
      <c r="Y354" s="2499"/>
      <c r="Z354" s="2499"/>
      <c r="AA354" s="2499"/>
      <c r="AB354" s="2499"/>
      <c r="AC354" s="2499"/>
      <c r="AD354" s="2499"/>
      <c r="AE354" s="2499"/>
      <c r="AF354" s="2499"/>
      <c r="AG354" s="2499"/>
      <c r="AH354" s="2499"/>
      <c r="AI354" s="2499"/>
      <c r="AJ354" s="2499"/>
      <c r="AK354" s="637"/>
      <c r="AL354" s="637"/>
      <c r="AM354" s="637"/>
      <c r="AN354" s="631"/>
      <c r="AO354" s="731"/>
      <c r="AP354" s="732">
        <f>IF(C412="Yes",3,0)</f>
        <v>0</v>
      </c>
    </row>
    <row r="355" spans="1:81" s="584" customFormat="1" ht="12.45" customHeight="1">
      <c r="A355" s="637"/>
      <c r="B355" s="645"/>
      <c r="C355" s="2499"/>
      <c r="D355" s="2499"/>
      <c r="E355" s="2499"/>
      <c r="F355" s="2499"/>
      <c r="G355" s="2499"/>
      <c r="H355" s="2499"/>
      <c r="I355" s="2499"/>
      <c r="J355" s="2499"/>
      <c r="K355" s="2499"/>
      <c r="L355" s="2499"/>
      <c r="M355" s="2499"/>
      <c r="N355" s="2499"/>
      <c r="O355" s="2499"/>
      <c r="P355" s="2499"/>
      <c r="Q355" s="2499"/>
      <c r="R355" s="2499"/>
      <c r="S355" s="2499"/>
      <c r="T355" s="2499"/>
      <c r="U355" s="2499"/>
      <c r="V355" s="2499"/>
      <c r="W355" s="2499"/>
      <c r="X355" s="2499"/>
      <c r="Y355" s="2499"/>
      <c r="Z355" s="2499"/>
      <c r="AA355" s="2499"/>
      <c r="AB355" s="2499"/>
      <c r="AC355" s="2499"/>
      <c r="AD355" s="2499"/>
      <c r="AE355" s="2499"/>
      <c r="AF355" s="2499"/>
      <c r="AG355" s="2499"/>
      <c r="AH355" s="2499"/>
      <c r="AI355" s="2499"/>
      <c r="AJ355" s="2499"/>
      <c r="AK355" s="637"/>
      <c r="AL355" s="637"/>
      <c r="AM355" s="637"/>
      <c r="AN355" s="631"/>
      <c r="AO355" s="733" t="s">
        <v>228</v>
      </c>
      <c r="AP355" s="734">
        <f>SUM(AP346:AP354)</f>
        <v>10</v>
      </c>
      <c r="AQ355" s="2500">
        <f>IF(AP355&gt;0,AP355,0)</f>
        <v>10</v>
      </c>
      <c r="AR355" s="2500"/>
    </row>
    <row r="356" spans="1:81" s="584" customFormat="1" ht="12.75" customHeight="1">
      <c r="A356" s="637"/>
      <c r="B356" s="645"/>
      <c r="C356" s="2499"/>
      <c r="D356" s="2499"/>
      <c r="E356" s="2499"/>
      <c r="F356" s="2499"/>
      <c r="G356" s="2499"/>
      <c r="H356" s="2499"/>
      <c r="I356" s="2499"/>
      <c r="J356" s="2499"/>
      <c r="K356" s="2499"/>
      <c r="L356" s="2499"/>
      <c r="M356" s="2499"/>
      <c r="N356" s="2499"/>
      <c r="O356" s="2499"/>
      <c r="P356" s="2499"/>
      <c r="Q356" s="2499"/>
      <c r="R356" s="2499"/>
      <c r="S356" s="2499"/>
      <c r="T356" s="2499"/>
      <c r="U356" s="2499"/>
      <c r="V356" s="2499"/>
      <c r="W356" s="2499"/>
      <c r="X356" s="2499"/>
      <c r="Y356" s="2499"/>
      <c r="Z356" s="2499"/>
      <c r="AA356" s="2499"/>
      <c r="AB356" s="2499"/>
      <c r="AC356" s="2499"/>
      <c r="AD356" s="2499"/>
      <c r="AE356" s="2499"/>
      <c r="AF356" s="2499"/>
      <c r="AG356" s="2499"/>
      <c r="AH356" s="2499"/>
      <c r="AI356" s="2499"/>
      <c r="AJ356" s="249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477" t="s">
        <v>1567</v>
      </c>
      <c r="D358" s="2477"/>
      <c r="E358" s="2477"/>
      <c r="F358" s="2477"/>
      <c r="G358" s="2477"/>
      <c r="H358" s="2477"/>
      <c r="I358" s="2477"/>
      <c r="J358" s="2477"/>
      <c r="K358" s="2477"/>
      <c r="L358" s="2477"/>
      <c r="M358" s="2477"/>
      <c r="N358" s="2477"/>
      <c r="O358" s="2477"/>
      <c r="P358" s="2477"/>
      <c r="Q358" s="2477"/>
      <c r="R358" s="2477"/>
      <c r="S358" s="2477"/>
      <c r="T358" s="2477"/>
      <c r="U358" s="2477"/>
      <c r="V358" s="2477"/>
      <c r="W358" s="2477"/>
      <c r="X358" s="2477"/>
      <c r="Y358" s="2477"/>
      <c r="Z358" s="2477"/>
      <c r="AA358" s="2477"/>
      <c r="AB358" s="2477"/>
      <c r="AC358" s="2477"/>
      <c r="AD358" s="2477"/>
      <c r="AE358" s="2477"/>
      <c r="AF358" s="2477"/>
      <c r="AG358" s="2477"/>
      <c r="AH358" s="2477"/>
      <c r="AI358" s="2477"/>
      <c r="AJ358" s="2477"/>
      <c r="AK358" s="637"/>
      <c r="AL358" s="637"/>
      <c r="AM358" s="637"/>
      <c r="AN358" s="631"/>
      <c r="AO358" s="729" t="s">
        <v>464</v>
      </c>
      <c r="AP358" s="730">
        <f>IF(C431="Yes",5,0)</f>
        <v>0</v>
      </c>
    </row>
    <row r="359" spans="1:81" s="584" customFormat="1" ht="12.75" customHeight="1">
      <c r="A359" s="637"/>
      <c r="B359" s="645"/>
      <c r="C359" s="2477"/>
      <c r="D359" s="2477"/>
      <c r="E359" s="2477"/>
      <c r="F359" s="2477"/>
      <c r="G359" s="2477"/>
      <c r="H359" s="2477"/>
      <c r="I359" s="2477"/>
      <c r="J359" s="2477"/>
      <c r="K359" s="2477"/>
      <c r="L359" s="2477"/>
      <c r="M359" s="2477"/>
      <c r="N359" s="2477"/>
      <c r="O359" s="2477"/>
      <c r="P359" s="2477"/>
      <c r="Q359" s="2477"/>
      <c r="R359" s="2477"/>
      <c r="S359" s="2477"/>
      <c r="T359" s="2477"/>
      <c r="U359" s="2477"/>
      <c r="V359" s="2477"/>
      <c r="W359" s="2477"/>
      <c r="X359" s="2477"/>
      <c r="Y359" s="2477"/>
      <c r="Z359" s="2477"/>
      <c r="AA359" s="2477"/>
      <c r="AB359" s="2477"/>
      <c r="AC359" s="2477"/>
      <c r="AD359" s="2477"/>
      <c r="AE359" s="2477"/>
      <c r="AF359" s="2477"/>
      <c r="AG359" s="2477"/>
      <c r="AH359" s="2477"/>
      <c r="AI359" s="2477"/>
      <c r="AJ359" s="2477"/>
      <c r="AK359" s="637"/>
      <c r="AL359" s="637"/>
      <c r="AM359" s="637"/>
      <c r="AN359" s="631"/>
      <c r="AO359" s="729" t="s">
        <v>469</v>
      </c>
      <c r="AP359" s="730">
        <f>IF(C438="Yes",5,0)</f>
        <v>0</v>
      </c>
    </row>
    <row r="360" spans="1:81" s="584" customFormat="1" ht="67.95" customHeight="1">
      <c r="A360" s="637"/>
      <c r="B360" s="645"/>
      <c r="C360" s="2477"/>
      <c r="D360" s="2477"/>
      <c r="E360" s="2477"/>
      <c r="F360" s="2477"/>
      <c r="G360" s="2477"/>
      <c r="H360" s="2477"/>
      <c r="I360" s="2477"/>
      <c r="J360" s="2477"/>
      <c r="K360" s="2477"/>
      <c r="L360" s="2477"/>
      <c r="M360" s="2477"/>
      <c r="N360" s="2477"/>
      <c r="O360" s="2477"/>
      <c r="P360" s="2477"/>
      <c r="Q360" s="2477"/>
      <c r="R360" s="2477"/>
      <c r="S360" s="2477"/>
      <c r="T360" s="2477"/>
      <c r="U360" s="2477"/>
      <c r="V360" s="2477"/>
      <c r="W360" s="2477"/>
      <c r="X360" s="2477"/>
      <c r="Y360" s="2477"/>
      <c r="Z360" s="2477"/>
      <c r="AA360" s="2477"/>
      <c r="AB360" s="2477"/>
      <c r="AC360" s="2477"/>
      <c r="AD360" s="2477"/>
      <c r="AE360" s="2477"/>
      <c r="AF360" s="2477"/>
      <c r="AG360" s="2477"/>
      <c r="AH360" s="2477"/>
      <c r="AI360" s="2477"/>
      <c r="AJ360" s="2477"/>
      <c r="AK360" s="637"/>
      <c r="AL360" s="637"/>
      <c r="AM360" s="637"/>
      <c r="AN360" s="631"/>
      <c r="AO360" s="729" t="s">
        <v>653</v>
      </c>
      <c r="AP360" s="735">
        <f>IF(C442="Yes",5,0)</f>
        <v>0</v>
      </c>
    </row>
    <row r="361" spans="1:81" s="584" customFormat="1" ht="12.45"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2568</v>
      </c>
      <c r="D362" s="737"/>
      <c r="E362" s="737"/>
      <c r="F362" s="737"/>
      <c r="G362" s="737"/>
      <c r="H362" s="737"/>
      <c r="I362" s="737"/>
      <c r="J362" s="737"/>
      <c r="K362" s="737"/>
      <c r="L362" s="737"/>
      <c r="M362" s="701"/>
      <c r="N362" s="701"/>
      <c r="O362" s="738"/>
      <c r="P362" s="737"/>
      <c r="Q362" s="737"/>
      <c r="R362" s="701"/>
      <c r="S362" s="701"/>
      <c r="T362" s="737"/>
      <c r="U362" s="2586">
        <f>Application!CS660-U363</f>
        <v>215</v>
      </c>
      <c r="V362" s="2586"/>
      <c r="W362" s="258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2569</v>
      </c>
      <c r="D363" s="728"/>
      <c r="E363" s="728"/>
      <c r="F363" s="728"/>
      <c r="G363" s="728"/>
      <c r="H363" s="728"/>
      <c r="I363" s="728"/>
      <c r="J363" s="728"/>
      <c r="K363" s="728"/>
      <c r="L363" s="728"/>
      <c r="M363" s="728"/>
      <c r="N363" s="728"/>
      <c r="O363" s="728"/>
      <c r="P363" s="728"/>
      <c r="Q363" s="728"/>
      <c r="R363" s="728"/>
      <c r="S363" s="728"/>
      <c r="T363" s="728"/>
      <c r="U363" s="2587">
        <f>IF(Application!D211="SRO",Application!CS634,Application!AG756)</f>
        <v>0</v>
      </c>
      <c r="V363" s="2587"/>
      <c r="W363" s="258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500">
        <f>IF(AP364&gt;0,AP364,0)</f>
        <v>0</v>
      </c>
      <c r="AR364" s="2500"/>
    </row>
    <row r="365" spans="1:81" s="584" customFormat="1" ht="12.75" customHeight="1">
      <c r="A365" s="637"/>
      <c r="B365" s="14"/>
      <c r="C365" s="746" t="s">
        <v>2566</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2481" t="s">
        <v>1569</v>
      </c>
      <c r="G366" s="2481"/>
      <c r="H366" s="2481"/>
      <c r="I366" s="2481"/>
      <c r="J366" s="2481"/>
      <c r="K366" s="2481"/>
      <c r="L366" s="2481"/>
      <c r="M366" s="2481"/>
      <c r="N366" s="2481"/>
      <c r="O366" s="2481"/>
      <c r="P366" s="2481"/>
      <c r="Q366" s="2481"/>
      <c r="R366" s="2481"/>
      <c r="S366" s="2481"/>
      <c r="T366" s="2481"/>
      <c r="U366" s="2481"/>
      <c r="V366" s="2481"/>
      <c r="W366" s="2481"/>
      <c r="X366" s="2481"/>
      <c r="Y366" s="2481"/>
      <c r="Z366" s="2481"/>
      <c r="AA366" s="2481"/>
      <c r="AB366" s="2481"/>
      <c r="AC366" s="2481"/>
      <c r="AD366" s="2481"/>
      <c r="AE366" s="2481"/>
      <c r="AF366" s="248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482"/>
      <c r="G367" s="2482"/>
      <c r="H367" s="2482"/>
      <c r="I367" s="2482"/>
      <c r="J367" s="2482"/>
      <c r="K367" s="2482"/>
      <c r="L367" s="2482"/>
      <c r="M367" s="2482"/>
      <c r="N367" s="2482"/>
      <c r="O367" s="2482"/>
      <c r="P367" s="2482"/>
      <c r="Q367" s="2482"/>
      <c r="R367" s="2482"/>
      <c r="S367" s="2482"/>
      <c r="T367" s="2482"/>
      <c r="U367" s="2482"/>
      <c r="V367" s="2482"/>
      <c r="W367" s="2482"/>
      <c r="X367" s="2482"/>
      <c r="Y367" s="2482"/>
      <c r="Z367" s="2482"/>
      <c r="AA367" s="2482"/>
      <c r="AB367" s="2482"/>
      <c r="AC367" s="2482"/>
      <c r="AD367" s="2482"/>
      <c r="AE367" s="2482"/>
      <c r="AF367" s="248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482"/>
      <c r="G368" s="2482"/>
      <c r="H368" s="2482"/>
      <c r="I368" s="2482"/>
      <c r="J368" s="2482"/>
      <c r="K368" s="2482"/>
      <c r="L368" s="2482"/>
      <c r="M368" s="2482"/>
      <c r="N368" s="2482"/>
      <c r="O368" s="2482"/>
      <c r="P368" s="2482"/>
      <c r="Q368" s="2482"/>
      <c r="R368" s="2482"/>
      <c r="S368" s="2482"/>
      <c r="T368" s="2482"/>
      <c r="U368" s="2482"/>
      <c r="V368" s="2482"/>
      <c r="W368" s="2482"/>
      <c r="X368" s="2482"/>
      <c r="Y368" s="2482"/>
      <c r="Z368" s="2482"/>
      <c r="AA368" s="2482"/>
      <c r="AB368" s="2482"/>
      <c r="AC368" s="2482"/>
      <c r="AD368" s="2482"/>
      <c r="AE368" s="2482"/>
      <c r="AF368" s="248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482"/>
      <c r="G369" s="2482"/>
      <c r="H369" s="2482"/>
      <c r="I369" s="2482"/>
      <c r="J369" s="2482"/>
      <c r="K369" s="2482"/>
      <c r="L369" s="2482"/>
      <c r="M369" s="2482"/>
      <c r="N369" s="2482"/>
      <c r="O369" s="2482"/>
      <c r="P369" s="2482"/>
      <c r="Q369" s="2482"/>
      <c r="R369" s="2482"/>
      <c r="S369" s="2482"/>
      <c r="T369" s="2482"/>
      <c r="U369" s="2482"/>
      <c r="V369" s="2482"/>
      <c r="W369" s="2482"/>
      <c r="X369" s="2482"/>
      <c r="Y369" s="2482"/>
      <c r="Z369" s="2482"/>
      <c r="AA369" s="2482"/>
      <c r="AB369" s="2482"/>
      <c r="AC369" s="2482"/>
      <c r="AD369" s="2482"/>
      <c r="AE369" s="2482"/>
      <c r="AF369" s="248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478" t="s">
        <v>599</v>
      </c>
      <c r="D370" s="2435"/>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479" t="s">
        <v>1571</v>
      </c>
      <c r="AG370" s="2479"/>
      <c r="AH370" s="2479"/>
      <c r="AI370" s="2479"/>
      <c r="AJ370" s="2479"/>
      <c r="AK370" s="2479"/>
      <c r="AL370" s="248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2481" t="s">
        <v>1572</v>
      </c>
      <c r="G373" s="2481"/>
      <c r="H373" s="2481"/>
      <c r="I373" s="2481"/>
      <c r="J373" s="2481"/>
      <c r="K373" s="2481"/>
      <c r="L373" s="2481"/>
      <c r="M373" s="2481"/>
      <c r="N373" s="2481"/>
      <c r="O373" s="2481"/>
      <c r="P373" s="2481"/>
      <c r="Q373" s="2481"/>
      <c r="R373" s="2481"/>
      <c r="S373" s="2481"/>
      <c r="T373" s="2481"/>
      <c r="U373" s="2481"/>
      <c r="V373" s="2481"/>
      <c r="W373" s="2481"/>
      <c r="X373" s="2481"/>
      <c r="Y373" s="2481"/>
      <c r="Z373" s="2481"/>
      <c r="AA373" s="2481"/>
      <c r="AB373" s="2481"/>
      <c r="AC373" s="2481"/>
      <c r="AD373" s="2481"/>
      <c r="AE373" s="2481"/>
      <c r="AF373" s="248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482"/>
      <c r="G374" s="2482"/>
      <c r="H374" s="2482"/>
      <c r="I374" s="2482"/>
      <c r="J374" s="2482"/>
      <c r="K374" s="2482"/>
      <c r="L374" s="2482"/>
      <c r="M374" s="2482"/>
      <c r="N374" s="2482"/>
      <c r="O374" s="2482"/>
      <c r="P374" s="2482"/>
      <c r="Q374" s="2482"/>
      <c r="R374" s="2482"/>
      <c r="S374" s="2482"/>
      <c r="T374" s="2482"/>
      <c r="U374" s="2482"/>
      <c r="V374" s="2482"/>
      <c r="W374" s="2482"/>
      <c r="X374" s="2482"/>
      <c r="Y374" s="2482"/>
      <c r="Z374" s="2482"/>
      <c r="AA374" s="2482"/>
      <c r="AB374" s="2482"/>
      <c r="AC374" s="2482"/>
      <c r="AD374" s="2482"/>
      <c r="AE374" s="2482"/>
      <c r="AF374" s="248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482"/>
      <c r="G375" s="2482"/>
      <c r="H375" s="2482"/>
      <c r="I375" s="2482"/>
      <c r="J375" s="2482"/>
      <c r="K375" s="2482"/>
      <c r="L375" s="2482"/>
      <c r="M375" s="2482"/>
      <c r="N375" s="2482"/>
      <c r="O375" s="2482"/>
      <c r="P375" s="2482"/>
      <c r="Q375" s="2482"/>
      <c r="R375" s="2482"/>
      <c r="S375" s="2482"/>
      <c r="T375" s="2482"/>
      <c r="U375" s="2482"/>
      <c r="V375" s="2482"/>
      <c r="W375" s="2482"/>
      <c r="X375" s="2482"/>
      <c r="Y375" s="2482"/>
      <c r="Z375" s="2482"/>
      <c r="AA375" s="2482"/>
      <c r="AB375" s="2482"/>
      <c r="AC375" s="2482"/>
      <c r="AD375" s="2482"/>
      <c r="AE375" s="2482"/>
      <c r="AF375" s="248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482"/>
      <c r="G376" s="2482"/>
      <c r="H376" s="2482"/>
      <c r="I376" s="2482"/>
      <c r="J376" s="2482"/>
      <c r="K376" s="2482"/>
      <c r="L376" s="2482"/>
      <c r="M376" s="2482"/>
      <c r="N376" s="2482"/>
      <c r="O376" s="2482"/>
      <c r="P376" s="2482"/>
      <c r="Q376" s="2482"/>
      <c r="R376" s="2482"/>
      <c r="S376" s="2482"/>
      <c r="T376" s="2482"/>
      <c r="U376" s="2482"/>
      <c r="V376" s="2482"/>
      <c r="W376" s="2482"/>
      <c r="X376" s="2482"/>
      <c r="Y376" s="2482"/>
      <c r="Z376" s="2482"/>
      <c r="AA376" s="2482"/>
      <c r="AB376" s="2482"/>
      <c r="AC376" s="2482"/>
      <c r="AD376" s="2482"/>
      <c r="AE376" s="2482"/>
      <c r="AF376" s="248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482"/>
      <c r="G377" s="2482"/>
      <c r="H377" s="2482"/>
      <c r="I377" s="2482"/>
      <c r="J377" s="2482"/>
      <c r="K377" s="2482"/>
      <c r="L377" s="2482"/>
      <c r="M377" s="2482"/>
      <c r="N377" s="2482"/>
      <c r="O377" s="2482"/>
      <c r="P377" s="2482"/>
      <c r="Q377" s="2482"/>
      <c r="R377" s="2482"/>
      <c r="S377" s="2482"/>
      <c r="T377" s="2482"/>
      <c r="U377" s="2482"/>
      <c r="V377" s="2482"/>
      <c r="W377" s="2482"/>
      <c r="X377" s="2482"/>
      <c r="Y377" s="2482"/>
      <c r="Z377" s="2482"/>
      <c r="AA377" s="2482"/>
      <c r="AB377" s="2482"/>
      <c r="AC377" s="2482"/>
      <c r="AD377" s="2482"/>
      <c r="AE377" s="2482"/>
      <c r="AF377" s="2482"/>
      <c r="AL377" s="766"/>
      <c r="AN377" s="631"/>
      <c r="BS377" s="30"/>
      <c r="BT377" s="30"/>
      <c r="BU377" s="14"/>
      <c r="BV377" s="14"/>
      <c r="BW377" s="14"/>
      <c r="BX377" s="14"/>
      <c r="BY377" s="14"/>
      <c r="BZ377" s="14"/>
      <c r="CA377" s="14"/>
      <c r="CB377" s="14"/>
      <c r="CC377" s="14"/>
    </row>
    <row r="378" spans="1:81" s="584" customFormat="1" ht="12.75" customHeight="1">
      <c r="A378" s="570"/>
      <c r="B378" s="14"/>
      <c r="C378" s="2478" t="s">
        <v>599</v>
      </c>
      <c r="D378" s="2435"/>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479" t="s">
        <v>1571</v>
      </c>
      <c r="AG378" s="2479"/>
      <c r="AH378" s="2479"/>
      <c r="AI378" s="2479"/>
      <c r="AJ378" s="2479"/>
      <c r="AK378" s="2479"/>
      <c r="AL378" s="248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2481" t="s">
        <v>1574</v>
      </c>
      <c r="G381" s="2481"/>
      <c r="H381" s="2481"/>
      <c r="I381" s="2481"/>
      <c r="J381" s="2481"/>
      <c r="K381" s="2481"/>
      <c r="L381" s="2481"/>
      <c r="M381" s="2481"/>
      <c r="N381" s="2481"/>
      <c r="O381" s="2481"/>
      <c r="P381" s="2481"/>
      <c r="Q381" s="2481"/>
      <c r="R381" s="2481"/>
      <c r="S381" s="2481"/>
      <c r="T381" s="2481"/>
      <c r="U381" s="2481"/>
      <c r="V381" s="2481"/>
      <c r="W381" s="2481"/>
      <c r="X381" s="2481"/>
      <c r="Y381" s="2481"/>
      <c r="Z381" s="2481"/>
      <c r="AA381" s="2481"/>
      <c r="AB381" s="2481"/>
      <c r="AC381" s="2481"/>
      <c r="AD381" s="2481"/>
      <c r="AE381" s="2481"/>
      <c r="AF381" s="248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482"/>
      <c r="G382" s="2482"/>
      <c r="H382" s="2482"/>
      <c r="I382" s="2482"/>
      <c r="J382" s="2482"/>
      <c r="K382" s="2482"/>
      <c r="L382" s="2482"/>
      <c r="M382" s="2482"/>
      <c r="N382" s="2482"/>
      <c r="O382" s="2482"/>
      <c r="P382" s="2482"/>
      <c r="Q382" s="2482"/>
      <c r="R382" s="2482"/>
      <c r="S382" s="2482"/>
      <c r="T382" s="2482"/>
      <c r="U382" s="2482"/>
      <c r="V382" s="2482"/>
      <c r="W382" s="2482"/>
      <c r="X382" s="2482"/>
      <c r="Y382" s="2482"/>
      <c r="Z382" s="2482"/>
      <c r="AA382" s="2482"/>
      <c r="AB382" s="2482"/>
      <c r="AC382" s="2482"/>
      <c r="AD382" s="2482"/>
      <c r="AE382" s="2482"/>
      <c r="AF382" s="248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482"/>
      <c r="G383" s="2482"/>
      <c r="H383" s="2482"/>
      <c r="I383" s="2482"/>
      <c r="J383" s="2482"/>
      <c r="K383" s="2482"/>
      <c r="L383" s="2482"/>
      <c r="M383" s="2482"/>
      <c r="N383" s="2482"/>
      <c r="O383" s="2482"/>
      <c r="P383" s="2482"/>
      <c r="Q383" s="2482"/>
      <c r="R383" s="2482"/>
      <c r="S383" s="2482"/>
      <c r="T383" s="2482"/>
      <c r="U383" s="2482"/>
      <c r="V383" s="2482"/>
      <c r="W383" s="2482"/>
      <c r="X383" s="2482"/>
      <c r="Y383" s="2482"/>
      <c r="Z383" s="2482"/>
      <c r="AA383" s="2482"/>
      <c r="AB383" s="2482"/>
      <c r="AC383" s="2482"/>
      <c r="AD383" s="2482"/>
      <c r="AE383" s="2482"/>
      <c r="AF383" s="248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482"/>
      <c r="G384" s="2482"/>
      <c r="H384" s="2482"/>
      <c r="I384" s="2482"/>
      <c r="J384" s="2482"/>
      <c r="K384" s="2482"/>
      <c r="L384" s="2482"/>
      <c r="M384" s="2482"/>
      <c r="N384" s="2482"/>
      <c r="O384" s="2482"/>
      <c r="P384" s="2482"/>
      <c r="Q384" s="2482"/>
      <c r="R384" s="2482"/>
      <c r="S384" s="2482"/>
      <c r="T384" s="2482"/>
      <c r="U384" s="2482"/>
      <c r="V384" s="2482"/>
      <c r="W384" s="2482"/>
      <c r="X384" s="2482"/>
      <c r="Y384" s="2482"/>
      <c r="Z384" s="2482"/>
      <c r="AA384" s="2482"/>
      <c r="AB384" s="2482"/>
      <c r="AC384" s="2482"/>
      <c r="AD384" s="2482"/>
      <c r="AE384" s="2482"/>
      <c r="AF384" s="248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482"/>
      <c r="G385" s="2482"/>
      <c r="H385" s="2482"/>
      <c r="I385" s="2482"/>
      <c r="J385" s="2482"/>
      <c r="K385" s="2482"/>
      <c r="L385" s="2482"/>
      <c r="M385" s="2482"/>
      <c r="N385" s="2482"/>
      <c r="O385" s="2482"/>
      <c r="P385" s="2482"/>
      <c r="Q385" s="2482"/>
      <c r="R385" s="2482"/>
      <c r="S385" s="2482"/>
      <c r="T385" s="2482"/>
      <c r="U385" s="2482"/>
      <c r="V385" s="2482"/>
      <c r="W385" s="2482"/>
      <c r="X385" s="2482"/>
      <c r="Y385" s="2482"/>
      <c r="Z385" s="2482"/>
      <c r="AA385" s="2482"/>
      <c r="AB385" s="2482"/>
      <c r="AC385" s="2482"/>
      <c r="AD385" s="2482"/>
      <c r="AE385" s="2482"/>
      <c r="AF385" s="248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478" t="s">
        <v>599</v>
      </c>
      <c r="D386" s="2435"/>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479" t="s">
        <v>1576</v>
      </c>
      <c r="AG386" s="2479"/>
      <c r="AH386" s="2479"/>
      <c r="AI386" s="2479"/>
      <c r="AJ386" s="2479"/>
      <c r="AK386" s="2479"/>
      <c r="AL386" s="248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478" t="s">
        <v>553</v>
      </c>
      <c r="D388" s="2435"/>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479" t="s">
        <v>1571</v>
      </c>
      <c r="AG388" s="2479"/>
      <c r="AH388" s="2479"/>
      <c r="AI388" s="2479"/>
      <c r="AJ388" s="2479"/>
      <c r="AK388" s="2479"/>
      <c r="AL388" s="248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2481" t="s">
        <v>1580</v>
      </c>
      <c r="G392" s="2481"/>
      <c r="H392" s="2481"/>
      <c r="I392" s="2481"/>
      <c r="J392" s="2481"/>
      <c r="K392" s="2481"/>
      <c r="L392" s="2481"/>
      <c r="M392" s="2481"/>
      <c r="N392" s="2481"/>
      <c r="O392" s="2481"/>
      <c r="P392" s="2481"/>
      <c r="Q392" s="2481"/>
      <c r="R392" s="2481"/>
      <c r="S392" s="2481"/>
      <c r="T392" s="2481"/>
      <c r="U392" s="2481"/>
      <c r="V392" s="2481"/>
      <c r="W392" s="2481"/>
      <c r="X392" s="2481"/>
      <c r="Y392" s="2481"/>
      <c r="Z392" s="2481"/>
      <c r="AA392" s="2481"/>
      <c r="AB392" s="2481"/>
      <c r="AC392" s="2481"/>
      <c r="AD392" s="2481"/>
      <c r="AE392" s="2481"/>
      <c r="AF392" s="248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482"/>
      <c r="G393" s="2482"/>
      <c r="H393" s="2482"/>
      <c r="I393" s="2482"/>
      <c r="J393" s="2482"/>
      <c r="K393" s="2482"/>
      <c r="L393" s="2482"/>
      <c r="M393" s="2482"/>
      <c r="N393" s="2482"/>
      <c r="O393" s="2482"/>
      <c r="P393" s="2482"/>
      <c r="Q393" s="2482"/>
      <c r="R393" s="2482"/>
      <c r="S393" s="2482"/>
      <c r="T393" s="2482"/>
      <c r="U393" s="2482"/>
      <c r="V393" s="2482"/>
      <c r="W393" s="2482"/>
      <c r="X393" s="2482"/>
      <c r="Y393" s="2482"/>
      <c r="Z393" s="2482"/>
      <c r="AA393" s="2482"/>
      <c r="AB393" s="2482"/>
      <c r="AC393" s="2482"/>
      <c r="AD393" s="2482"/>
      <c r="AE393" s="2482"/>
      <c r="AF393" s="248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482"/>
      <c r="G394" s="2482"/>
      <c r="H394" s="2482"/>
      <c r="I394" s="2482"/>
      <c r="J394" s="2482"/>
      <c r="K394" s="2482"/>
      <c r="L394" s="2482"/>
      <c r="M394" s="2482"/>
      <c r="N394" s="2482"/>
      <c r="O394" s="2482"/>
      <c r="P394" s="2482"/>
      <c r="Q394" s="2482"/>
      <c r="R394" s="2482"/>
      <c r="S394" s="2482"/>
      <c r="T394" s="2482"/>
      <c r="U394" s="2482"/>
      <c r="V394" s="2482"/>
      <c r="W394" s="2482"/>
      <c r="X394" s="2482"/>
      <c r="Y394" s="2482"/>
      <c r="Z394" s="2482"/>
      <c r="AA394" s="2482"/>
      <c r="AB394" s="2482"/>
      <c r="AC394" s="2482"/>
      <c r="AD394" s="2482"/>
      <c r="AE394" s="2482"/>
      <c r="AF394" s="248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482"/>
      <c r="G395" s="2482"/>
      <c r="H395" s="2482"/>
      <c r="I395" s="2482"/>
      <c r="J395" s="2482"/>
      <c r="K395" s="2482"/>
      <c r="L395" s="2482"/>
      <c r="M395" s="2482"/>
      <c r="N395" s="2482"/>
      <c r="O395" s="2482"/>
      <c r="P395" s="2482"/>
      <c r="Q395" s="2482"/>
      <c r="R395" s="2482"/>
      <c r="S395" s="2482"/>
      <c r="T395" s="2482"/>
      <c r="U395" s="2482"/>
      <c r="V395" s="2482"/>
      <c r="W395" s="2482"/>
      <c r="X395" s="2482"/>
      <c r="Y395" s="2482"/>
      <c r="Z395" s="2482"/>
      <c r="AA395" s="2482"/>
      <c r="AB395" s="2482"/>
      <c r="AC395" s="2482"/>
      <c r="AD395" s="2482"/>
      <c r="AE395" s="2482"/>
      <c r="AF395" s="248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478" t="s">
        <v>599</v>
      </c>
      <c r="D396" s="2435"/>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479" t="s">
        <v>1571</v>
      </c>
      <c r="AG396" s="2479"/>
      <c r="AH396" s="2479"/>
      <c r="AI396" s="2479"/>
      <c r="AJ396" s="2479"/>
      <c r="AK396" s="2479"/>
      <c r="AL396" s="248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478" t="s">
        <v>599</v>
      </c>
      <c r="D398" s="2435"/>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479" t="s">
        <v>1583</v>
      </c>
      <c r="AG398" s="2479"/>
      <c r="AH398" s="2479"/>
      <c r="AI398" s="2479"/>
      <c r="AJ398" s="2479"/>
      <c r="AK398" s="2479"/>
      <c r="AL398" s="248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478" t="s">
        <v>599</v>
      </c>
      <c r="D401" s="2435"/>
      <c r="E401" s="749" t="s">
        <v>1584</v>
      </c>
      <c r="F401" s="2481" t="s">
        <v>1585</v>
      </c>
      <c r="G401" s="2481"/>
      <c r="H401" s="2481"/>
      <c r="I401" s="2481"/>
      <c r="J401" s="2481"/>
      <c r="K401" s="2481"/>
      <c r="L401" s="2481"/>
      <c r="M401" s="2481"/>
      <c r="N401" s="2481"/>
      <c r="O401" s="2481"/>
      <c r="P401" s="2481"/>
      <c r="Q401" s="2481"/>
      <c r="R401" s="2481"/>
      <c r="S401" s="2481"/>
      <c r="T401" s="2481"/>
      <c r="U401" s="2481"/>
      <c r="V401" s="2481"/>
      <c r="W401" s="2481"/>
      <c r="X401" s="2481"/>
      <c r="Y401" s="2481"/>
      <c r="Z401" s="2481"/>
      <c r="AA401" s="2481"/>
      <c r="AB401" s="2481"/>
      <c r="AC401" s="2481"/>
      <c r="AD401" s="2481"/>
      <c r="AE401" s="248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482"/>
      <c r="G402" s="2482"/>
      <c r="H402" s="2482"/>
      <c r="I402" s="2482"/>
      <c r="J402" s="2482"/>
      <c r="K402" s="2482"/>
      <c r="L402" s="2482"/>
      <c r="M402" s="2482"/>
      <c r="N402" s="2482"/>
      <c r="O402" s="2482"/>
      <c r="P402" s="2482"/>
      <c r="Q402" s="2482"/>
      <c r="R402" s="2482"/>
      <c r="S402" s="2482"/>
      <c r="T402" s="2482"/>
      <c r="U402" s="2482"/>
      <c r="V402" s="2482"/>
      <c r="W402" s="2482"/>
      <c r="X402" s="2482"/>
      <c r="Y402" s="2482"/>
      <c r="Z402" s="2482"/>
      <c r="AA402" s="2482"/>
      <c r="AB402" s="2482"/>
      <c r="AC402" s="2482"/>
      <c r="AD402" s="2482"/>
      <c r="AE402" s="2482"/>
      <c r="AF402" s="2404" t="s">
        <v>1571</v>
      </c>
      <c r="AG402" s="2404"/>
      <c r="AH402" s="2404"/>
      <c r="AI402" s="2404"/>
      <c r="AJ402" s="2404"/>
      <c r="AK402" s="2404"/>
      <c r="AL402" s="2483"/>
      <c r="AM402" s="604"/>
      <c r="AN402" s="631"/>
      <c r="BS402" s="604"/>
      <c r="BT402" s="604"/>
      <c r="BY402" s="604"/>
      <c r="BZ402" s="604"/>
      <c r="CA402" s="604"/>
      <c r="CB402" s="604"/>
      <c r="CC402" s="604"/>
    </row>
    <row r="403" spans="1:81" s="584" customFormat="1" ht="12.75" customHeight="1">
      <c r="A403" s="570"/>
      <c r="B403" s="14"/>
      <c r="C403" s="765"/>
      <c r="D403" s="14"/>
      <c r="E403" s="725"/>
      <c r="F403" s="2482"/>
      <c r="G403" s="2482"/>
      <c r="H403" s="2482"/>
      <c r="I403" s="2482"/>
      <c r="J403" s="2482"/>
      <c r="K403" s="2482"/>
      <c r="L403" s="2482"/>
      <c r="M403" s="2482"/>
      <c r="N403" s="2482"/>
      <c r="O403" s="2482"/>
      <c r="P403" s="2482"/>
      <c r="Q403" s="2482"/>
      <c r="R403" s="2482"/>
      <c r="S403" s="2482"/>
      <c r="T403" s="2482"/>
      <c r="U403" s="2482"/>
      <c r="V403" s="2482"/>
      <c r="W403" s="2482"/>
      <c r="X403" s="2482"/>
      <c r="Y403" s="2482"/>
      <c r="Z403" s="2482"/>
      <c r="AA403" s="2482"/>
      <c r="AB403" s="2482"/>
      <c r="AC403" s="2482"/>
      <c r="AD403" s="2482"/>
      <c r="AE403" s="248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501"/>
      <c r="G404" s="2501"/>
      <c r="H404" s="2501"/>
      <c r="I404" s="2501"/>
      <c r="J404" s="2501"/>
      <c r="K404" s="2501"/>
      <c r="L404" s="2501"/>
      <c r="M404" s="2501"/>
      <c r="N404" s="2501"/>
      <c r="O404" s="2501"/>
      <c r="P404" s="2501"/>
      <c r="Q404" s="2501"/>
      <c r="R404" s="2501"/>
      <c r="S404" s="2501"/>
      <c r="T404" s="2501"/>
      <c r="U404" s="2501"/>
      <c r="V404" s="2501"/>
      <c r="W404" s="2501"/>
      <c r="X404" s="2501"/>
      <c r="Y404" s="2501"/>
      <c r="Z404" s="2501"/>
      <c r="AA404" s="2501"/>
      <c r="AB404" s="2501"/>
      <c r="AC404" s="2501"/>
      <c r="AD404" s="2501"/>
      <c r="AE404" s="2501"/>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2481" t="s">
        <v>1587</v>
      </c>
      <c r="G406" s="2481"/>
      <c r="H406" s="2481"/>
      <c r="I406" s="2481"/>
      <c r="J406" s="2481"/>
      <c r="K406" s="2481"/>
      <c r="L406" s="2481"/>
      <c r="M406" s="2481"/>
      <c r="N406" s="2481"/>
      <c r="O406" s="2481"/>
      <c r="P406" s="2481"/>
      <c r="Q406" s="2481"/>
      <c r="R406" s="2481"/>
      <c r="S406" s="2481"/>
      <c r="T406" s="2481"/>
      <c r="U406" s="2481"/>
      <c r="V406" s="2481"/>
      <c r="W406" s="2481"/>
      <c r="X406" s="2481"/>
      <c r="Y406" s="2481"/>
      <c r="Z406" s="2481"/>
      <c r="AA406" s="2481"/>
      <c r="AB406" s="2481"/>
      <c r="AC406" s="2481"/>
      <c r="AD406" s="2481"/>
      <c r="AE406" s="2481"/>
      <c r="AF406" s="781"/>
      <c r="AG406" s="781"/>
      <c r="AH406" s="781"/>
      <c r="AI406" s="781"/>
      <c r="AJ406" s="781"/>
      <c r="AK406" s="781"/>
      <c r="AL406" s="782"/>
      <c r="AM406" s="604"/>
    </row>
    <row r="407" spans="1:81">
      <c r="A407" s="570"/>
      <c r="C407" s="765"/>
      <c r="E407" s="725"/>
      <c r="F407" s="2482"/>
      <c r="G407" s="2482"/>
      <c r="H407" s="2482"/>
      <c r="I407" s="2482"/>
      <c r="J407" s="2482"/>
      <c r="K407" s="2482"/>
      <c r="L407" s="2482"/>
      <c r="M407" s="2482"/>
      <c r="N407" s="2482"/>
      <c r="O407" s="2482"/>
      <c r="P407" s="2482"/>
      <c r="Q407" s="2482"/>
      <c r="R407" s="2482"/>
      <c r="S407" s="2482"/>
      <c r="T407" s="2482"/>
      <c r="U407" s="2482"/>
      <c r="V407" s="2482"/>
      <c r="W407" s="2482"/>
      <c r="X407" s="2482"/>
      <c r="Y407" s="2482"/>
      <c r="Z407" s="2482"/>
      <c r="AA407" s="2482"/>
      <c r="AB407" s="2482"/>
      <c r="AC407" s="2482"/>
      <c r="AD407" s="2482"/>
      <c r="AE407" s="2482"/>
      <c r="AF407" s="573"/>
      <c r="AG407" s="570"/>
      <c r="AH407" s="584"/>
      <c r="AI407" s="584"/>
      <c r="AJ407" s="584"/>
      <c r="AK407" s="584"/>
      <c r="AL407" s="766"/>
      <c r="AM407" s="604"/>
    </row>
    <row r="408" spans="1:81" s="584" customFormat="1" ht="12.75" customHeight="1">
      <c r="A408" s="570"/>
      <c r="B408" s="14"/>
      <c r="C408" s="765"/>
      <c r="D408" s="14"/>
      <c r="E408" s="725"/>
      <c r="F408" s="2482"/>
      <c r="G408" s="2482"/>
      <c r="H408" s="2482"/>
      <c r="I408" s="2482"/>
      <c r="J408" s="2482"/>
      <c r="K408" s="2482"/>
      <c r="L408" s="2482"/>
      <c r="M408" s="2482"/>
      <c r="N408" s="2482"/>
      <c r="O408" s="2482"/>
      <c r="P408" s="2482"/>
      <c r="Q408" s="2482"/>
      <c r="R408" s="2482"/>
      <c r="S408" s="2482"/>
      <c r="T408" s="2482"/>
      <c r="U408" s="2482"/>
      <c r="V408" s="2482"/>
      <c r="W408" s="2482"/>
      <c r="X408" s="2482"/>
      <c r="Y408" s="2482"/>
      <c r="Z408" s="2482"/>
      <c r="AA408" s="2482"/>
      <c r="AB408" s="2482"/>
      <c r="AC408" s="2482"/>
      <c r="AD408" s="2482"/>
      <c r="AE408" s="2482"/>
      <c r="AL408" s="766"/>
      <c r="AM408" s="604"/>
      <c r="AN408" s="631"/>
    </row>
    <row r="409" spans="1:81" s="584" customFormat="1" ht="12.75" customHeight="1">
      <c r="A409" s="570"/>
      <c r="B409" s="14"/>
      <c r="C409" s="773"/>
      <c r="F409" s="2482"/>
      <c r="G409" s="2482"/>
      <c r="H409" s="2482"/>
      <c r="I409" s="2482"/>
      <c r="J409" s="2482"/>
      <c r="K409" s="2482"/>
      <c r="L409" s="2482"/>
      <c r="M409" s="2482"/>
      <c r="N409" s="2482"/>
      <c r="O409" s="2482"/>
      <c r="P409" s="2482"/>
      <c r="Q409" s="2482"/>
      <c r="R409" s="2482"/>
      <c r="S409" s="2482"/>
      <c r="T409" s="2482"/>
      <c r="U409" s="2482"/>
      <c r="V409" s="2482"/>
      <c r="W409" s="2482"/>
      <c r="X409" s="2482"/>
      <c r="Y409" s="2482"/>
      <c r="Z409" s="2482"/>
      <c r="AA409" s="2482"/>
      <c r="AB409" s="2482"/>
      <c r="AC409" s="2482"/>
      <c r="AD409" s="2482"/>
      <c r="AE409" s="2482"/>
      <c r="AL409" s="766"/>
      <c r="AM409" s="604"/>
      <c r="AN409" s="631"/>
    </row>
    <row r="410" spans="1:81" s="584" customFormat="1" ht="12.75" customHeight="1">
      <c r="A410" s="570"/>
      <c r="B410" s="14"/>
      <c r="C410" s="2478" t="s">
        <v>553</v>
      </c>
      <c r="D410" s="2435"/>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404" t="s">
        <v>1571</v>
      </c>
      <c r="AG410" s="2404"/>
      <c r="AH410" s="2404"/>
      <c r="AI410" s="2404"/>
      <c r="AJ410" s="2404"/>
      <c r="AK410" s="2404"/>
      <c r="AL410" s="2483"/>
      <c r="AM410" s="604"/>
      <c r="AN410" s="631"/>
    </row>
    <row r="411" spans="1:81" s="584" customFormat="1" ht="12.75" customHeight="1">
      <c r="A411" s="570"/>
      <c r="B411" s="14"/>
      <c r="C411" s="773"/>
      <c r="AL411" s="766"/>
      <c r="AM411" s="604"/>
      <c r="AN411" s="631"/>
    </row>
    <row r="412" spans="1:81" s="584" customFormat="1" ht="12.75" customHeight="1">
      <c r="A412" s="570"/>
      <c r="B412" s="14"/>
      <c r="C412" s="2478" t="s">
        <v>599</v>
      </c>
      <c r="D412" s="2435"/>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404" t="s">
        <v>1583</v>
      </c>
      <c r="AG412" s="2404"/>
      <c r="AH412" s="2404"/>
      <c r="AI412" s="2404"/>
      <c r="AJ412" s="2404"/>
      <c r="AK412" s="2404"/>
      <c r="AL412" s="2483"/>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2567</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2481" t="s">
        <v>1591</v>
      </c>
      <c r="G416" s="2481"/>
      <c r="H416" s="2481"/>
      <c r="I416" s="2481"/>
      <c r="J416" s="2481"/>
      <c r="K416" s="2481"/>
      <c r="L416" s="2481"/>
      <c r="M416" s="2481"/>
      <c r="N416" s="2481"/>
      <c r="O416" s="2481"/>
      <c r="P416" s="2481"/>
      <c r="Q416" s="2481"/>
      <c r="R416" s="2481"/>
      <c r="S416" s="2481"/>
      <c r="T416" s="2481"/>
      <c r="U416" s="2481"/>
      <c r="V416" s="2481"/>
      <c r="W416" s="2481"/>
      <c r="X416" s="2481"/>
      <c r="Y416" s="2481"/>
      <c r="Z416" s="2481"/>
      <c r="AA416" s="2481"/>
      <c r="AB416" s="2481"/>
      <c r="AC416" s="2481"/>
      <c r="AD416" s="2481"/>
      <c r="AE416" s="2481"/>
      <c r="AF416" s="748"/>
      <c r="AG416" s="748"/>
      <c r="AH416" s="748"/>
      <c r="AI416" s="748"/>
      <c r="AJ416" s="748"/>
      <c r="AK416" s="748"/>
      <c r="AL416" s="779"/>
      <c r="AM416" s="604"/>
      <c r="AN416" s="631"/>
    </row>
    <row r="417" spans="1:60" s="584" customFormat="1" ht="12.75" customHeight="1">
      <c r="A417" s="570"/>
      <c r="B417" s="14"/>
      <c r="C417" s="765"/>
      <c r="D417" s="14"/>
      <c r="E417" s="725"/>
      <c r="F417" s="2482"/>
      <c r="G417" s="2482"/>
      <c r="H417" s="2482"/>
      <c r="I417" s="2482"/>
      <c r="J417" s="2482"/>
      <c r="K417" s="2482"/>
      <c r="L417" s="2482"/>
      <c r="M417" s="2482"/>
      <c r="N417" s="2482"/>
      <c r="O417" s="2482"/>
      <c r="P417" s="2482"/>
      <c r="Q417" s="2482"/>
      <c r="R417" s="2482"/>
      <c r="S417" s="2482"/>
      <c r="T417" s="2482"/>
      <c r="U417" s="2482"/>
      <c r="V417" s="2482"/>
      <c r="W417" s="2482"/>
      <c r="X417" s="2482"/>
      <c r="Y417" s="2482"/>
      <c r="Z417" s="2482"/>
      <c r="AA417" s="2482"/>
      <c r="AB417" s="2482"/>
      <c r="AC417" s="2482"/>
      <c r="AD417" s="2482"/>
      <c r="AE417" s="2482"/>
      <c r="AF417" s="573"/>
      <c r="AG417" s="570"/>
      <c r="AL417" s="766"/>
      <c r="AM417" s="604"/>
      <c r="AN417" s="631"/>
    </row>
    <row r="418" spans="1:60" s="584" customFormat="1" ht="12.45" customHeight="1">
      <c r="A418" s="570"/>
      <c r="B418" s="14"/>
      <c r="C418" s="765"/>
      <c r="D418" s="14"/>
      <c r="E418" s="725"/>
      <c r="F418" s="2482"/>
      <c r="G418" s="2482"/>
      <c r="H418" s="2482"/>
      <c r="I418" s="2482"/>
      <c r="J418" s="2482"/>
      <c r="K418" s="2482"/>
      <c r="L418" s="2482"/>
      <c r="M418" s="2482"/>
      <c r="N418" s="2482"/>
      <c r="O418" s="2482"/>
      <c r="P418" s="2482"/>
      <c r="Q418" s="2482"/>
      <c r="R418" s="2482"/>
      <c r="S418" s="2482"/>
      <c r="T418" s="2482"/>
      <c r="U418" s="2482"/>
      <c r="V418" s="2482"/>
      <c r="W418" s="2482"/>
      <c r="X418" s="2482"/>
      <c r="Y418" s="2482"/>
      <c r="Z418" s="2482"/>
      <c r="AA418" s="2482"/>
      <c r="AB418" s="2482"/>
      <c r="AC418" s="2482"/>
      <c r="AD418" s="2482"/>
      <c r="AE418" s="2482"/>
      <c r="AL418" s="766"/>
      <c r="AM418" s="604"/>
      <c r="AN418" s="631"/>
    </row>
    <row r="419" spans="1:60" s="584" customFormat="1" ht="12.75" customHeight="1">
      <c r="A419" s="570"/>
      <c r="B419" s="14"/>
      <c r="C419" s="2478" t="s">
        <v>599</v>
      </c>
      <c r="D419" s="2435"/>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404" t="s">
        <v>1571</v>
      </c>
      <c r="AG419" s="2404"/>
      <c r="AH419" s="2404"/>
      <c r="AI419" s="2404"/>
      <c r="AJ419" s="2404"/>
      <c r="AK419" s="2404"/>
      <c r="AL419" s="2483"/>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1593</v>
      </c>
      <c r="F422" s="2481" t="s">
        <v>1594</v>
      </c>
      <c r="G422" s="2481"/>
      <c r="H422" s="2481"/>
      <c r="I422" s="2481"/>
      <c r="J422" s="2481"/>
      <c r="K422" s="2481"/>
      <c r="L422" s="2481"/>
      <c r="M422" s="2481"/>
      <c r="N422" s="2481"/>
      <c r="O422" s="2481"/>
      <c r="P422" s="2481"/>
      <c r="Q422" s="2481"/>
      <c r="R422" s="2481"/>
      <c r="S422" s="2481"/>
      <c r="T422" s="2481"/>
      <c r="U422" s="2481"/>
      <c r="V422" s="2481"/>
      <c r="W422" s="2481"/>
      <c r="X422" s="2481"/>
      <c r="Y422" s="2481"/>
      <c r="Z422" s="2481"/>
      <c r="AA422" s="2481"/>
      <c r="AB422" s="2481"/>
      <c r="AC422" s="2481"/>
      <c r="AD422" s="2481"/>
      <c r="AE422" s="2481"/>
      <c r="AF422" s="781"/>
      <c r="AG422" s="781"/>
      <c r="AH422" s="781"/>
      <c r="AI422" s="781"/>
      <c r="AJ422" s="781"/>
      <c r="AK422" s="781"/>
      <c r="AL422" s="782"/>
      <c r="AM422" s="604"/>
      <c r="AO422" s="584"/>
      <c r="AP422" s="584"/>
      <c r="BD422" s="14"/>
      <c r="BE422" s="14"/>
      <c r="BF422" s="14"/>
      <c r="BG422" s="14"/>
      <c r="BH422" s="14"/>
    </row>
    <row r="423" spans="1:60">
      <c r="A423" s="570"/>
      <c r="C423" s="765"/>
      <c r="E423" s="725"/>
      <c r="F423" s="2482"/>
      <c r="G423" s="2482"/>
      <c r="H423" s="2482"/>
      <c r="I423" s="2482"/>
      <c r="J423" s="2482"/>
      <c r="K423" s="2482"/>
      <c r="L423" s="2482"/>
      <c r="M423" s="2482"/>
      <c r="N423" s="2482"/>
      <c r="O423" s="2482"/>
      <c r="P423" s="2482"/>
      <c r="Q423" s="2482"/>
      <c r="R423" s="2482"/>
      <c r="S423" s="2482"/>
      <c r="T423" s="2482"/>
      <c r="U423" s="2482"/>
      <c r="V423" s="2482"/>
      <c r="W423" s="2482"/>
      <c r="X423" s="2482"/>
      <c r="Y423" s="2482"/>
      <c r="Z423" s="2482"/>
      <c r="AA423" s="2482"/>
      <c r="AB423" s="2482"/>
      <c r="AC423" s="2482"/>
      <c r="AD423" s="2482"/>
      <c r="AE423" s="2482"/>
      <c r="AF423" s="628"/>
      <c r="AG423" s="628"/>
      <c r="AH423" s="628"/>
      <c r="AI423" s="628"/>
      <c r="AJ423" s="628"/>
      <c r="AK423" s="628"/>
      <c r="AL423" s="784"/>
      <c r="AM423" s="604"/>
      <c r="AO423" s="584"/>
      <c r="AP423" s="584"/>
    </row>
    <row r="424" spans="1:60" s="584" customFormat="1" ht="12.75" customHeight="1">
      <c r="A424" s="570"/>
      <c r="B424" s="14"/>
      <c r="C424" s="765"/>
      <c r="D424" s="14"/>
      <c r="E424" s="725"/>
      <c r="F424" s="2482"/>
      <c r="G424" s="2482"/>
      <c r="H424" s="2482"/>
      <c r="I424" s="2482"/>
      <c r="J424" s="2482"/>
      <c r="K424" s="2482"/>
      <c r="L424" s="2482"/>
      <c r="M424" s="2482"/>
      <c r="N424" s="2482"/>
      <c r="O424" s="2482"/>
      <c r="P424" s="2482"/>
      <c r="Q424" s="2482"/>
      <c r="R424" s="2482"/>
      <c r="S424" s="2482"/>
      <c r="T424" s="2482"/>
      <c r="U424" s="2482"/>
      <c r="V424" s="2482"/>
      <c r="W424" s="2482"/>
      <c r="X424" s="2482"/>
      <c r="Y424" s="2482"/>
      <c r="Z424" s="2482"/>
      <c r="AA424" s="2482"/>
      <c r="AB424" s="2482"/>
      <c r="AC424" s="2482"/>
      <c r="AD424" s="2482"/>
      <c r="AE424" s="2482"/>
      <c r="AF424" s="628"/>
      <c r="AG424" s="628"/>
      <c r="AH424" s="628"/>
      <c r="AI424" s="628"/>
      <c r="AJ424" s="628"/>
      <c r="AK424" s="628"/>
      <c r="AL424" s="784"/>
      <c r="AM424" s="604"/>
      <c r="AN424" s="631"/>
    </row>
    <row r="425" spans="1:60" s="584" customFormat="1" ht="12.75" customHeight="1">
      <c r="A425" s="570"/>
      <c r="B425" s="14"/>
      <c r="C425" s="785"/>
      <c r="D425" s="764"/>
      <c r="E425" s="753"/>
      <c r="F425" s="2482"/>
      <c r="G425" s="2482"/>
      <c r="H425" s="2482"/>
      <c r="I425" s="2482"/>
      <c r="J425" s="2482"/>
      <c r="K425" s="2482"/>
      <c r="L425" s="2482"/>
      <c r="M425" s="2482"/>
      <c r="N425" s="2482"/>
      <c r="O425" s="2482"/>
      <c r="P425" s="2482"/>
      <c r="Q425" s="2482"/>
      <c r="R425" s="2482"/>
      <c r="S425" s="2482"/>
      <c r="T425" s="2482"/>
      <c r="U425" s="2482"/>
      <c r="V425" s="2482"/>
      <c r="W425" s="2482"/>
      <c r="X425" s="2482"/>
      <c r="Y425" s="2482"/>
      <c r="Z425" s="2482"/>
      <c r="AA425" s="2482"/>
      <c r="AB425" s="2482"/>
      <c r="AC425" s="2482"/>
      <c r="AD425" s="2482"/>
      <c r="AE425" s="248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482"/>
      <c r="G426" s="2482"/>
      <c r="H426" s="2482"/>
      <c r="I426" s="2482"/>
      <c r="J426" s="2482"/>
      <c r="K426" s="2482"/>
      <c r="L426" s="2482"/>
      <c r="M426" s="2482"/>
      <c r="N426" s="2482"/>
      <c r="O426" s="2482"/>
      <c r="P426" s="2482"/>
      <c r="Q426" s="2482"/>
      <c r="R426" s="2482"/>
      <c r="S426" s="2482"/>
      <c r="T426" s="2482"/>
      <c r="U426" s="2482"/>
      <c r="V426" s="2482"/>
      <c r="W426" s="2482"/>
      <c r="X426" s="2482"/>
      <c r="Y426" s="2482"/>
      <c r="Z426" s="2482"/>
      <c r="AA426" s="2482"/>
      <c r="AB426" s="2482"/>
      <c r="AC426" s="2482"/>
      <c r="AD426" s="2482"/>
      <c r="AE426" s="2482"/>
      <c r="AF426" s="628"/>
      <c r="AG426" s="628"/>
      <c r="AH426" s="628"/>
      <c r="AI426" s="628"/>
      <c r="AJ426" s="628"/>
      <c r="AK426" s="628"/>
      <c r="AL426" s="784"/>
      <c r="AM426" s="604"/>
      <c r="AN426" s="631"/>
    </row>
    <row r="427" spans="1:60" s="584" customFormat="1" ht="12.75" customHeight="1">
      <c r="A427" s="570"/>
      <c r="B427" s="14"/>
      <c r="C427" s="785"/>
      <c r="D427" s="764"/>
      <c r="E427" s="753"/>
      <c r="F427" s="2482"/>
      <c r="G427" s="2482"/>
      <c r="H427" s="2482"/>
      <c r="I427" s="2482"/>
      <c r="J427" s="2482"/>
      <c r="K427" s="2482"/>
      <c r="L427" s="2482"/>
      <c r="M427" s="2482"/>
      <c r="N427" s="2482"/>
      <c r="O427" s="2482"/>
      <c r="P427" s="2482"/>
      <c r="Q427" s="2482"/>
      <c r="R427" s="2482"/>
      <c r="S427" s="2482"/>
      <c r="T427" s="2482"/>
      <c r="U427" s="2482"/>
      <c r="V427" s="2482"/>
      <c r="W427" s="2482"/>
      <c r="X427" s="2482"/>
      <c r="Y427" s="2482"/>
      <c r="Z427" s="2482"/>
      <c r="AA427" s="2482"/>
      <c r="AB427" s="2482"/>
      <c r="AC427" s="2482"/>
      <c r="AD427" s="2482"/>
      <c r="AE427" s="2482"/>
      <c r="AF427" s="628"/>
      <c r="AG427" s="628"/>
      <c r="AH427" s="628"/>
      <c r="AI427" s="628"/>
      <c r="AJ427" s="628"/>
      <c r="AK427" s="628"/>
      <c r="AL427" s="784"/>
      <c r="AM427" s="604"/>
      <c r="AN427" s="631"/>
    </row>
    <row r="428" spans="1:60" s="584" customFormat="1" ht="12.75" customHeight="1">
      <c r="A428" s="570"/>
      <c r="B428" s="14"/>
      <c r="C428" s="785"/>
      <c r="D428" s="764"/>
      <c r="E428" s="753"/>
      <c r="F428" s="2482"/>
      <c r="G428" s="2482"/>
      <c r="H428" s="2482"/>
      <c r="I428" s="2482"/>
      <c r="J428" s="2482"/>
      <c r="K428" s="2482"/>
      <c r="L428" s="2482"/>
      <c r="M428" s="2482"/>
      <c r="N428" s="2482"/>
      <c r="O428" s="2482"/>
      <c r="P428" s="2482"/>
      <c r="Q428" s="2482"/>
      <c r="R428" s="2482"/>
      <c r="S428" s="2482"/>
      <c r="T428" s="2482"/>
      <c r="U428" s="2482"/>
      <c r="V428" s="2482"/>
      <c r="W428" s="2482"/>
      <c r="X428" s="2482"/>
      <c r="Y428" s="2482"/>
      <c r="Z428" s="2482"/>
      <c r="AA428" s="2482"/>
      <c r="AB428" s="2482"/>
      <c r="AC428" s="2482"/>
      <c r="AD428" s="2482"/>
      <c r="AE428" s="2482"/>
      <c r="AF428" s="628"/>
      <c r="AG428" s="628"/>
      <c r="AH428" s="628"/>
      <c r="AI428" s="628"/>
      <c r="AJ428" s="628"/>
      <c r="AK428" s="628"/>
      <c r="AL428" s="784"/>
      <c r="AM428" s="604"/>
      <c r="AN428" s="631"/>
    </row>
    <row r="429" spans="1:60" s="584" customFormat="1" ht="12.75" customHeight="1">
      <c r="A429" s="570"/>
      <c r="B429" s="14"/>
      <c r="C429" s="785"/>
      <c r="D429" s="764"/>
      <c r="E429" s="753"/>
      <c r="F429" s="2482"/>
      <c r="G429" s="2482"/>
      <c r="H429" s="2482"/>
      <c r="I429" s="2482"/>
      <c r="J429" s="2482"/>
      <c r="K429" s="2482"/>
      <c r="L429" s="2482"/>
      <c r="M429" s="2482"/>
      <c r="N429" s="2482"/>
      <c r="O429" s="2482"/>
      <c r="P429" s="2482"/>
      <c r="Q429" s="2482"/>
      <c r="R429" s="2482"/>
      <c r="S429" s="2482"/>
      <c r="T429" s="2482"/>
      <c r="U429" s="2482"/>
      <c r="V429" s="2482"/>
      <c r="W429" s="2482"/>
      <c r="X429" s="2482"/>
      <c r="Y429" s="2482"/>
      <c r="Z429" s="2482"/>
      <c r="AA429" s="2482"/>
      <c r="AB429" s="2482"/>
      <c r="AC429" s="2482"/>
      <c r="AD429" s="2482"/>
      <c r="AE429" s="2482"/>
      <c r="AF429" s="628"/>
      <c r="AG429" s="628"/>
      <c r="AH429" s="628"/>
      <c r="AI429" s="628"/>
      <c r="AJ429" s="628"/>
      <c r="AK429" s="628"/>
      <c r="AL429" s="784"/>
      <c r="AM429" s="604"/>
      <c r="AN429" s="631"/>
    </row>
    <row r="430" spans="1:60" s="584" customFormat="1" ht="17.25" customHeight="1">
      <c r="A430" s="570"/>
      <c r="B430" s="14"/>
      <c r="C430" s="785"/>
      <c r="D430" s="764"/>
      <c r="E430" s="753"/>
      <c r="F430" s="2482"/>
      <c r="G430" s="2482"/>
      <c r="H430" s="2482"/>
      <c r="I430" s="2482"/>
      <c r="J430" s="2482"/>
      <c r="K430" s="2482"/>
      <c r="L430" s="2482"/>
      <c r="M430" s="2482"/>
      <c r="N430" s="2482"/>
      <c r="O430" s="2482"/>
      <c r="P430" s="2482"/>
      <c r="Q430" s="2482"/>
      <c r="R430" s="2482"/>
      <c r="S430" s="2482"/>
      <c r="T430" s="2482"/>
      <c r="U430" s="2482"/>
      <c r="V430" s="2482"/>
      <c r="W430" s="2482"/>
      <c r="X430" s="2482"/>
      <c r="Y430" s="2482"/>
      <c r="Z430" s="2482"/>
      <c r="AA430" s="2482"/>
      <c r="AB430" s="2482"/>
      <c r="AC430" s="2482"/>
      <c r="AD430" s="2482"/>
      <c r="AE430" s="2482"/>
      <c r="AL430" s="766"/>
      <c r="AM430" s="604"/>
      <c r="AN430" s="631"/>
    </row>
    <row r="431" spans="1:60" s="584" customFormat="1" ht="12.75" customHeight="1">
      <c r="A431" s="570"/>
      <c r="B431" s="14"/>
      <c r="C431" s="2478" t="s">
        <v>599</v>
      </c>
      <c r="D431" s="2435"/>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404" t="s">
        <v>1571</v>
      </c>
      <c r="AG431" s="2404"/>
      <c r="AH431" s="2404"/>
      <c r="AI431" s="2404"/>
      <c r="AJ431" s="2404"/>
      <c r="AK431" s="2404"/>
      <c r="AL431" s="2483"/>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2481" t="s">
        <v>1597</v>
      </c>
      <c r="G434" s="2481"/>
      <c r="H434" s="2481"/>
      <c r="I434" s="2481"/>
      <c r="J434" s="2481"/>
      <c r="K434" s="2481"/>
      <c r="L434" s="2481"/>
      <c r="M434" s="2481"/>
      <c r="N434" s="2481"/>
      <c r="O434" s="2481"/>
      <c r="P434" s="2481"/>
      <c r="Q434" s="2481"/>
      <c r="R434" s="2481"/>
      <c r="S434" s="2481"/>
      <c r="T434" s="2481"/>
      <c r="U434" s="2481"/>
      <c r="V434" s="2481"/>
      <c r="W434" s="2481"/>
      <c r="X434" s="2481"/>
      <c r="Y434" s="2481"/>
      <c r="Z434" s="2481"/>
      <c r="AA434" s="2481"/>
      <c r="AB434" s="2481"/>
      <c r="AC434" s="2481"/>
      <c r="AD434" s="2481"/>
      <c r="AE434" s="2481"/>
      <c r="AF434" s="748"/>
      <c r="AG434" s="748"/>
      <c r="AH434" s="748"/>
      <c r="AI434" s="748"/>
      <c r="AJ434" s="748"/>
      <c r="AK434" s="748"/>
      <c r="AL434" s="779"/>
      <c r="AM434" s="604"/>
      <c r="AN434" s="631"/>
    </row>
    <row r="435" spans="1:40" s="584" customFormat="1" ht="12.75" customHeight="1">
      <c r="A435" s="570"/>
      <c r="B435" s="14"/>
      <c r="C435" s="785"/>
      <c r="D435" s="764"/>
      <c r="E435" s="753"/>
      <c r="F435" s="2482"/>
      <c r="G435" s="2482"/>
      <c r="H435" s="2482"/>
      <c r="I435" s="2482"/>
      <c r="J435" s="2482"/>
      <c r="K435" s="2482"/>
      <c r="L435" s="2482"/>
      <c r="M435" s="2482"/>
      <c r="N435" s="2482"/>
      <c r="O435" s="2482"/>
      <c r="P435" s="2482"/>
      <c r="Q435" s="2482"/>
      <c r="R435" s="2482"/>
      <c r="S435" s="2482"/>
      <c r="T435" s="2482"/>
      <c r="U435" s="2482"/>
      <c r="V435" s="2482"/>
      <c r="W435" s="2482"/>
      <c r="X435" s="2482"/>
      <c r="Y435" s="2482"/>
      <c r="Z435" s="2482"/>
      <c r="AA435" s="2482"/>
      <c r="AB435" s="2482"/>
      <c r="AC435" s="2482"/>
      <c r="AD435" s="2482"/>
      <c r="AE435" s="2482"/>
      <c r="AF435" s="625"/>
      <c r="AG435" s="625"/>
      <c r="AH435" s="625"/>
      <c r="AI435" s="625"/>
      <c r="AJ435" s="625"/>
      <c r="AK435" s="625"/>
      <c r="AL435" s="754"/>
      <c r="AM435" s="604"/>
      <c r="AN435" s="631"/>
    </row>
    <row r="436" spans="1:40" s="584" customFormat="1" ht="12.75" customHeight="1">
      <c r="A436" s="570"/>
      <c r="B436" s="14"/>
      <c r="C436" s="785"/>
      <c r="D436" s="764"/>
      <c r="E436" s="753"/>
      <c r="F436" s="2482"/>
      <c r="G436" s="2482"/>
      <c r="H436" s="2482"/>
      <c r="I436" s="2482"/>
      <c r="J436" s="2482"/>
      <c r="K436" s="2482"/>
      <c r="L436" s="2482"/>
      <c r="M436" s="2482"/>
      <c r="N436" s="2482"/>
      <c r="O436" s="2482"/>
      <c r="P436" s="2482"/>
      <c r="Q436" s="2482"/>
      <c r="R436" s="2482"/>
      <c r="S436" s="2482"/>
      <c r="T436" s="2482"/>
      <c r="U436" s="2482"/>
      <c r="V436" s="2482"/>
      <c r="W436" s="2482"/>
      <c r="X436" s="2482"/>
      <c r="Y436" s="2482"/>
      <c r="Z436" s="2482"/>
      <c r="AA436" s="2482"/>
      <c r="AB436" s="2482"/>
      <c r="AC436" s="2482"/>
      <c r="AD436" s="2482"/>
      <c r="AE436" s="2482"/>
      <c r="AF436" s="625"/>
      <c r="AG436" s="625"/>
      <c r="AH436" s="625"/>
      <c r="AI436" s="625"/>
      <c r="AJ436" s="625"/>
      <c r="AK436" s="625"/>
      <c r="AL436" s="754"/>
      <c r="AM436" s="604"/>
      <c r="AN436" s="631"/>
    </row>
    <row r="437" spans="1:40" s="584" customFormat="1" ht="12.75" customHeight="1">
      <c r="A437" s="570"/>
      <c r="B437" s="14"/>
      <c r="C437" s="785"/>
      <c r="D437" s="764"/>
      <c r="E437" s="753"/>
      <c r="F437" s="2482"/>
      <c r="G437" s="2482"/>
      <c r="H437" s="2482"/>
      <c r="I437" s="2482"/>
      <c r="J437" s="2482"/>
      <c r="K437" s="2482"/>
      <c r="L437" s="2482"/>
      <c r="M437" s="2482"/>
      <c r="N437" s="2482"/>
      <c r="O437" s="2482"/>
      <c r="P437" s="2482"/>
      <c r="Q437" s="2482"/>
      <c r="R437" s="2482"/>
      <c r="S437" s="2482"/>
      <c r="T437" s="2482"/>
      <c r="U437" s="2482"/>
      <c r="V437" s="2482"/>
      <c r="W437" s="2482"/>
      <c r="X437" s="2482"/>
      <c r="Y437" s="2482"/>
      <c r="Z437" s="2482"/>
      <c r="AA437" s="2482"/>
      <c r="AB437" s="2482"/>
      <c r="AC437" s="2482"/>
      <c r="AD437" s="2482"/>
      <c r="AE437" s="2482"/>
      <c r="AL437" s="766"/>
      <c r="AM437" s="604"/>
      <c r="AN437" s="631"/>
    </row>
    <row r="438" spans="1:40" s="584" customFormat="1" ht="12.75" customHeight="1">
      <c r="A438" s="570"/>
      <c r="B438" s="14"/>
      <c r="C438" s="2478" t="s">
        <v>599</v>
      </c>
      <c r="D438" s="2435"/>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404" t="s">
        <v>1571</v>
      </c>
      <c r="AG438" s="2404"/>
      <c r="AH438" s="2404"/>
      <c r="AI438" s="2404"/>
      <c r="AJ438" s="2404"/>
      <c r="AK438" s="2404"/>
      <c r="AL438" s="2483"/>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484" t="s">
        <v>599</v>
      </c>
      <c r="D442" s="2485"/>
      <c r="E442" s="749" t="s">
        <v>1606</v>
      </c>
      <c r="F442" s="2481" t="s">
        <v>1607</v>
      </c>
      <c r="G442" s="2481"/>
      <c r="H442" s="2481"/>
      <c r="I442" s="2481"/>
      <c r="J442" s="2481"/>
      <c r="K442" s="2481"/>
      <c r="L442" s="2481"/>
      <c r="M442" s="2481"/>
      <c r="N442" s="2481"/>
      <c r="O442" s="2481"/>
      <c r="P442" s="2481"/>
      <c r="Q442" s="2481"/>
      <c r="R442" s="2481"/>
      <c r="S442" s="2481"/>
      <c r="T442" s="2481"/>
      <c r="U442" s="2481"/>
      <c r="V442" s="2481"/>
      <c r="W442" s="2481"/>
      <c r="X442" s="2481"/>
      <c r="Y442" s="2481"/>
      <c r="Z442" s="2481"/>
      <c r="AA442" s="2481"/>
      <c r="AB442" s="2481"/>
      <c r="AC442" s="2481"/>
      <c r="AD442" s="2481"/>
      <c r="AE442" s="2481"/>
      <c r="AF442" s="2502" t="s">
        <v>1571</v>
      </c>
      <c r="AG442" s="2502"/>
      <c r="AH442" s="2502"/>
      <c r="AI442" s="2502"/>
      <c r="AJ442" s="2502"/>
      <c r="AK442" s="2502"/>
      <c r="AL442" s="2503"/>
      <c r="AM442" s="604"/>
      <c r="AN442" s="787"/>
    </row>
    <row r="443" spans="1:40" s="584" customFormat="1" ht="12.75" customHeight="1">
      <c r="A443" s="570"/>
      <c r="B443" s="14"/>
      <c r="C443" s="785"/>
      <c r="D443" s="764"/>
      <c r="E443" s="753"/>
      <c r="F443" s="2482"/>
      <c r="G443" s="2482"/>
      <c r="H443" s="2482"/>
      <c r="I443" s="2482"/>
      <c r="J443" s="2482"/>
      <c r="K443" s="2482"/>
      <c r="L443" s="2482"/>
      <c r="M443" s="2482"/>
      <c r="N443" s="2482"/>
      <c r="O443" s="2482"/>
      <c r="P443" s="2482"/>
      <c r="Q443" s="2482"/>
      <c r="R443" s="2482"/>
      <c r="S443" s="2482"/>
      <c r="T443" s="2482"/>
      <c r="U443" s="2482"/>
      <c r="V443" s="2482"/>
      <c r="W443" s="2482"/>
      <c r="X443" s="2482"/>
      <c r="Y443" s="2482"/>
      <c r="Z443" s="2482"/>
      <c r="AA443" s="2482"/>
      <c r="AB443" s="2482"/>
      <c r="AC443" s="2482"/>
      <c r="AD443" s="2482"/>
      <c r="AE443" s="2482"/>
      <c r="AF443" s="625"/>
      <c r="AG443" s="625"/>
      <c r="AH443" s="625"/>
      <c r="AI443" s="625"/>
      <c r="AJ443" s="625"/>
      <c r="AK443" s="625"/>
      <c r="AL443" s="754"/>
      <c r="AM443" s="604"/>
      <c r="AN443" s="788"/>
    </row>
    <row r="444" spans="1:40" s="584" customFormat="1" ht="17.7" customHeight="1">
      <c r="A444" s="570"/>
      <c r="B444" s="14"/>
      <c r="C444" s="790"/>
      <c r="D444" s="757"/>
      <c r="E444" s="758"/>
      <c r="F444" s="2501"/>
      <c r="G444" s="2501"/>
      <c r="H444" s="2501"/>
      <c r="I444" s="2501"/>
      <c r="J444" s="2501"/>
      <c r="K444" s="2501"/>
      <c r="L444" s="2501"/>
      <c r="M444" s="2501"/>
      <c r="N444" s="2501"/>
      <c r="O444" s="2501"/>
      <c r="P444" s="2501"/>
      <c r="Q444" s="2501"/>
      <c r="R444" s="2501"/>
      <c r="S444" s="2501"/>
      <c r="T444" s="2501"/>
      <c r="U444" s="2501"/>
      <c r="V444" s="2501"/>
      <c r="W444" s="2501"/>
      <c r="X444" s="2501"/>
      <c r="Y444" s="2501"/>
      <c r="Z444" s="2501"/>
      <c r="AA444" s="2501"/>
      <c r="AB444" s="2501"/>
      <c r="AC444" s="2501"/>
      <c r="AD444" s="2501"/>
      <c r="AE444" s="250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478" t="s">
        <v>599</v>
      </c>
      <c r="D446" s="2435"/>
      <c r="E446" s="749" t="s">
        <v>1612</v>
      </c>
      <c r="F446" s="2481" t="s">
        <v>1613</v>
      </c>
      <c r="G446" s="2481"/>
      <c r="H446" s="2481"/>
      <c r="I446" s="2481"/>
      <c r="J446" s="2481"/>
      <c r="K446" s="2481"/>
      <c r="L446" s="2481"/>
      <c r="M446" s="2481"/>
      <c r="N446" s="2481"/>
      <c r="O446" s="2481"/>
      <c r="P446" s="2481"/>
      <c r="Q446" s="2481"/>
      <c r="R446" s="2481"/>
      <c r="S446" s="2481"/>
      <c r="T446" s="2481"/>
      <c r="U446" s="2481"/>
      <c r="V446" s="2481"/>
      <c r="W446" s="2481"/>
      <c r="X446" s="2481"/>
      <c r="Y446" s="2481"/>
      <c r="Z446" s="2481"/>
      <c r="AA446" s="2481"/>
      <c r="AB446" s="2481"/>
      <c r="AC446" s="2481"/>
      <c r="AD446" s="2481"/>
      <c r="AE446" s="2481"/>
      <c r="AF446" s="2502" t="s">
        <v>1571</v>
      </c>
      <c r="AG446" s="2502"/>
      <c r="AH446" s="2502"/>
      <c r="AI446" s="2502"/>
      <c r="AJ446" s="2502"/>
      <c r="AK446" s="2502"/>
      <c r="AL446" s="2503"/>
      <c r="AM446" s="604"/>
      <c r="AN446" s="569"/>
    </row>
    <row r="447" spans="1:40" s="584" customFormat="1" ht="12.75" customHeight="1">
      <c r="A447" s="570"/>
      <c r="B447" s="14"/>
      <c r="C447" s="765"/>
      <c r="D447" s="14"/>
      <c r="E447" s="725"/>
      <c r="F447" s="2482"/>
      <c r="G447" s="2482"/>
      <c r="H447" s="2482"/>
      <c r="I447" s="2482"/>
      <c r="J447" s="2482"/>
      <c r="K447" s="2482"/>
      <c r="L447" s="2482"/>
      <c r="M447" s="2482"/>
      <c r="N447" s="2482"/>
      <c r="O447" s="2482"/>
      <c r="P447" s="2482"/>
      <c r="Q447" s="2482"/>
      <c r="R447" s="2482"/>
      <c r="S447" s="2482"/>
      <c r="T447" s="2482"/>
      <c r="U447" s="2482"/>
      <c r="V447" s="2482"/>
      <c r="W447" s="2482"/>
      <c r="X447" s="2482"/>
      <c r="Y447" s="2482"/>
      <c r="Z447" s="2482"/>
      <c r="AA447" s="2482"/>
      <c r="AB447" s="2482"/>
      <c r="AC447" s="2482"/>
      <c r="AD447" s="2482"/>
      <c r="AE447" s="2482"/>
      <c r="AF447" s="573"/>
      <c r="AG447" s="570"/>
      <c r="AL447" s="766"/>
      <c r="AM447" s="604"/>
      <c r="AN447" s="569"/>
    </row>
    <row r="448" spans="1:40" s="584" customFormat="1" ht="12.75" customHeight="1">
      <c r="A448" s="570"/>
      <c r="B448" s="14"/>
      <c r="C448" s="765"/>
      <c r="D448" s="14"/>
      <c r="E448" s="725"/>
      <c r="F448" s="2482"/>
      <c r="G448" s="2482"/>
      <c r="H448" s="2482"/>
      <c r="I448" s="2482"/>
      <c r="J448" s="2482"/>
      <c r="K448" s="2482"/>
      <c r="L448" s="2482"/>
      <c r="M448" s="2482"/>
      <c r="N448" s="2482"/>
      <c r="O448" s="2482"/>
      <c r="P448" s="2482"/>
      <c r="Q448" s="2482"/>
      <c r="R448" s="2482"/>
      <c r="S448" s="2482"/>
      <c r="T448" s="2482"/>
      <c r="U448" s="2482"/>
      <c r="V448" s="2482"/>
      <c r="W448" s="2482"/>
      <c r="X448" s="2482"/>
      <c r="Y448" s="2482"/>
      <c r="Z448" s="2482"/>
      <c r="AA448" s="2482"/>
      <c r="AB448" s="2482"/>
      <c r="AC448" s="2482"/>
      <c r="AD448" s="2482"/>
      <c r="AE448" s="2482"/>
      <c r="AF448" s="573"/>
      <c r="AG448" s="570"/>
      <c r="AL448" s="766"/>
      <c r="AM448" s="604"/>
      <c r="AN448" s="569"/>
    </row>
    <row r="449" spans="1:48" s="584" customFormat="1" ht="12.75" customHeight="1">
      <c r="A449" s="570"/>
      <c r="B449" s="14"/>
      <c r="C449" s="790"/>
      <c r="D449" s="757"/>
      <c r="E449" s="758"/>
      <c r="F449" s="2501"/>
      <c r="G449" s="2501"/>
      <c r="H449" s="2501"/>
      <c r="I449" s="2501"/>
      <c r="J449" s="2501"/>
      <c r="K449" s="2501"/>
      <c r="L449" s="2501"/>
      <c r="M449" s="2501"/>
      <c r="N449" s="2501"/>
      <c r="O449" s="2501"/>
      <c r="P449" s="2501"/>
      <c r="Q449" s="2501"/>
      <c r="R449" s="2501"/>
      <c r="S449" s="2501"/>
      <c r="T449" s="2501"/>
      <c r="U449" s="2501"/>
      <c r="V449" s="2501"/>
      <c r="W449" s="2501"/>
      <c r="X449" s="2501"/>
      <c r="Y449" s="2501"/>
      <c r="Z449" s="2501"/>
      <c r="AA449" s="2501"/>
      <c r="AB449" s="2501"/>
      <c r="AC449" s="2501"/>
      <c r="AD449" s="2501"/>
      <c r="AE449" s="250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2481" t="s">
        <v>1616</v>
      </c>
      <c r="G451" s="2481"/>
      <c r="H451" s="2481"/>
      <c r="I451" s="2481"/>
      <c r="J451" s="2481"/>
      <c r="K451" s="2481"/>
      <c r="L451" s="2481"/>
      <c r="M451" s="2481"/>
      <c r="N451" s="2481"/>
      <c r="O451" s="2481"/>
      <c r="P451" s="2481"/>
      <c r="Q451" s="2481"/>
      <c r="R451" s="2481"/>
      <c r="S451" s="2481"/>
      <c r="T451" s="2481"/>
      <c r="U451" s="2481"/>
      <c r="V451" s="2481"/>
      <c r="W451" s="2481"/>
      <c r="X451" s="2481"/>
      <c r="Y451" s="2481"/>
      <c r="Z451" s="2481"/>
      <c r="AA451" s="2481"/>
      <c r="AB451" s="2481"/>
      <c r="AC451" s="2481"/>
      <c r="AD451" s="2481"/>
      <c r="AE451" s="2481"/>
      <c r="AF451" s="2481"/>
      <c r="AG451" s="778"/>
      <c r="AH451" s="748"/>
      <c r="AI451" s="748"/>
      <c r="AJ451" s="748"/>
      <c r="AK451" s="748"/>
      <c r="AL451" s="779"/>
      <c r="AM451" s="604"/>
      <c r="AN451" s="631"/>
    </row>
    <row r="452" spans="1:48" s="584" customFormat="1" ht="12.75" customHeight="1">
      <c r="A452" s="570"/>
      <c r="B452" s="14"/>
      <c r="C452" s="765"/>
      <c r="D452" s="14"/>
      <c r="E452" s="725"/>
      <c r="F452" s="2482"/>
      <c r="G452" s="2482"/>
      <c r="H452" s="2482"/>
      <c r="I452" s="2482"/>
      <c r="J452" s="2482"/>
      <c r="K452" s="2482"/>
      <c r="L452" s="2482"/>
      <c r="M452" s="2482"/>
      <c r="N452" s="2482"/>
      <c r="O452" s="2482"/>
      <c r="P452" s="2482"/>
      <c r="Q452" s="2482"/>
      <c r="R452" s="2482"/>
      <c r="S452" s="2482"/>
      <c r="T452" s="2482"/>
      <c r="U452" s="2482"/>
      <c r="V452" s="2482"/>
      <c r="W452" s="2482"/>
      <c r="X452" s="2482"/>
      <c r="Y452" s="2482"/>
      <c r="Z452" s="2482"/>
      <c r="AA452" s="2482"/>
      <c r="AB452" s="2482"/>
      <c r="AC452" s="2482"/>
      <c r="AD452" s="2482"/>
      <c r="AE452" s="2482"/>
      <c r="AF452" s="2482"/>
      <c r="AL452" s="766"/>
      <c r="AM452" s="604"/>
      <c r="AN452" s="631"/>
    </row>
    <row r="453" spans="1:48" s="584" customFormat="1" ht="12.75" customHeight="1">
      <c r="A453" s="570"/>
      <c r="B453" s="14"/>
      <c r="C453" s="773"/>
      <c r="F453" s="2482"/>
      <c r="G453" s="2482"/>
      <c r="H453" s="2482"/>
      <c r="I453" s="2482"/>
      <c r="J453" s="2482"/>
      <c r="K453" s="2482"/>
      <c r="L453" s="2482"/>
      <c r="M453" s="2482"/>
      <c r="N453" s="2482"/>
      <c r="O453" s="2482"/>
      <c r="P453" s="2482"/>
      <c r="Q453" s="2482"/>
      <c r="R453" s="2482"/>
      <c r="S453" s="2482"/>
      <c r="T453" s="2482"/>
      <c r="U453" s="2482"/>
      <c r="V453" s="2482"/>
      <c r="W453" s="2482"/>
      <c r="X453" s="2482"/>
      <c r="Y453" s="2482"/>
      <c r="Z453" s="2482"/>
      <c r="AA453" s="2482"/>
      <c r="AB453" s="2482"/>
      <c r="AC453" s="2482"/>
      <c r="AD453" s="2482"/>
      <c r="AE453" s="2482"/>
      <c r="AF453" s="2482"/>
      <c r="AL453" s="766"/>
      <c r="AM453" s="604"/>
      <c r="AN453" s="631"/>
    </row>
    <row r="454" spans="1:48" s="584" customFormat="1" ht="12.75" customHeight="1">
      <c r="A454" s="570"/>
      <c r="B454" s="14"/>
      <c r="C454" s="773"/>
      <c r="F454" s="2482"/>
      <c r="G454" s="2482"/>
      <c r="H454" s="2482"/>
      <c r="I454" s="2482"/>
      <c r="J454" s="2482"/>
      <c r="K454" s="2482"/>
      <c r="L454" s="2482"/>
      <c r="M454" s="2482"/>
      <c r="N454" s="2482"/>
      <c r="O454" s="2482"/>
      <c r="P454" s="2482"/>
      <c r="Q454" s="2482"/>
      <c r="R454" s="2482"/>
      <c r="S454" s="2482"/>
      <c r="T454" s="2482"/>
      <c r="U454" s="2482"/>
      <c r="V454" s="2482"/>
      <c r="W454" s="2482"/>
      <c r="X454" s="2482"/>
      <c r="Y454" s="2482"/>
      <c r="Z454" s="2482"/>
      <c r="AA454" s="2482"/>
      <c r="AB454" s="2482"/>
      <c r="AC454" s="2482"/>
      <c r="AD454" s="2482"/>
      <c r="AE454" s="2482"/>
      <c r="AF454" s="2482"/>
      <c r="AL454" s="766"/>
      <c r="AM454" s="604"/>
      <c r="AN454" s="631"/>
    </row>
    <row r="455" spans="1:48" s="584" customFormat="1" ht="12.75" customHeight="1">
      <c r="A455" s="570"/>
      <c r="B455" s="14"/>
      <c r="C455" s="2478" t="s">
        <v>599</v>
      </c>
      <c r="D455" s="2435"/>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479" t="s">
        <v>1571</v>
      </c>
      <c r="AG455" s="2479"/>
      <c r="AH455" s="2479"/>
      <c r="AI455" s="2479"/>
      <c r="AJ455" s="2479"/>
      <c r="AK455" s="2479"/>
      <c r="AL455" s="248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2438">
        <f>IF(Application!D214="N/A",AS347,AS349)</f>
        <v>10</v>
      </c>
      <c r="AL458" s="2439"/>
      <c r="AM458" s="2440"/>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1619</v>
      </c>
      <c r="C461" s="573"/>
      <c r="E461" s="630"/>
      <c r="AE461" s="2479" t="s">
        <v>1620</v>
      </c>
      <c r="AF461" s="2479"/>
      <c r="AG461" s="2479"/>
      <c r="AH461" s="2479"/>
      <c r="AI461" s="2479"/>
      <c r="AJ461" s="2479"/>
      <c r="AK461" s="2479"/>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2504" t="s">
        <v>599</v>
      </c>
      <c r="D467" s="2505"/>
      <c r="E467" s="795" t="s">
        <v>515</v>
      </c>
      <c r="F467" s="2506" t="s">
        <v>1626</v>
      </c>
      <c r="G467" s="2506"/>
      <c r="H467" s="2506"/>
      <c r="I467" s="2506"/>
      <c r="J467" s="2506"/>
      <c r="K467" s="2506"/>
      <c r="L467" s="2506"/>
      <c r="M467" s="2506"/>
      <c r="N467" s="2506"/>
      <c r="O467" s="2506"/>
      <c r="P467" s="2506"/>
      <c r="Q467" s="2506"/>
      <c r="R467" s="2506"/>
      <c r="S467" s="2506"/>
      <c r="T467" s="2506"/>
      <c r="U467" s="2506"/>
      <c r="V467" s="2506"/>
      <c r="W467" s="2506"/>
      <c r="X467" s="2506"/>
      <c r="Y467" s="2506"/>
      <c r="Z467" s="2506"/>
      <c r="AA467" s="2506"/>
      <c r="AB467" s="2506"/>
      <c r="AC467" s="2506"/>
      <c r="AD467" s="2506"/>
      <c r="AE467" s="2506"/>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507"/>
      <c r="G468" s="2507"/>
      <c r="H468" s="2507"/>
      <c r="I468" s="2507"/>
      <c r="J468" s="2507"/>
      <c r="K468" s="2507"/>
      <c r="L468" s="2507"/>
      <c r="M468" s="2507"/>
      <c r="N468" s="2507"/>
      <c r="O468" s="2507"/>
      <c r="P468" s="2507"/>
      <c r="Q468" s="2507"/>
      <c r="R468" s="2507"/>
      <c r="S468" s="2507"/>
      <c r="T468" s="2507"/>
      <c r="U468" s="2507"/>
      <c r="V468" s="2507"/>
      <c r="W468" s="2507"/>
      <c r="X468" s="2507"/>
      <c r="Y468" s="2507"/>
      <c r="Z468" s="2507"/>
      <c r="AA468" s="2507"/>
      <c r="AB468" s="2507"/>
      <c r="AC468" s="2507"/>
      <c r="AD468" s="2507"/>
      <c r="AE468" s="2507"/>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508" t="s">
        <v>599</v>
      </c>
      <c r="G469" s="2508"/>
      <c r="H469" s="2508"/>
      <c r="I469" s="2508"/>
      <c r="J469" s="2508"/>
      <c r="K469" s="2508"/>
      <c r="L469" s="2508"/>
      <c r="M469" s="2508"/>
      <c r="N469" s="2508"/>
      <c r="O469" s="2508"/>
      <c r="P469" s="2508"/>
      <c r="Q469" s="2508"/>
      <c r="R469" s="2508"/>
      <c r="S469" s="2508"/>
      <c r="T469" s="2508"/>
      <c r="U469" s="2508"/>
      <c r="V469" s="2508"/>
      <c r="W469" s="2508"/>
      <c r="X469" s="2508"/>
      <c r="Y469" s="2508"/>
      <c r="Z469" s="2508"/>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509" t="s">
        <v>553</v>
      </c>
      <c r="D471" s="2510"/>
      <c r="E471" s="795" t="s">
        <v>765</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2516" t="s">
        <v>599</v>
      </c>
      <c r="W474" s="2516"/>
      <c r="X474" s="2516"/>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2516" t="s">
        <v>599</v>
      </c>
      <c r="W476" s="2516"/>
      <c r="X476" s="2516"/>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2516" t="s">
        <v>599</v>
      </c>
      <c r="W481" s="2516"/>
      <c r="X481" s="2516"/>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515"/>
      <c r="E484" s="2515"/>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2516" t="s">
        <v>599</v>
      </c>
      <c r="W485" s="2516"/>
      <c r="X485" s="2516"/>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2516" t="s">
        <v>599</v>
      </c>
      <c r="W487" s="2516"/>
      <c r="X487" s="2516"/>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504" t="s">
        <v>599</v>
      </c>
      <c r="D490" s="2505"/>
      <c r="E490" s="795" t="s">
        <v>515</v>
      </c>
      <c r="F490" s="2506" t="s">
        <v>1626</v>
      </c>
      <c r="G490" s="2506"/>
      <c r="H490" s="2506"/>
      <c r="I490" s="2506"/>
      <c r="J490" s="2506"/>
      <c r="K490" s="2506"/>
      <c r="L490" s="2506"/>
      <c r="M490" s="2506"/>
      <c r="N490" s="2506"/>
      <c r="O490" s="2506"/>
      <c r="P490" s="2506"/>
      <c r="Q490" s="2506"/>
      <c r="R490" s="2506"/>
      <c r="S490" s="2506"/>
      <c r="T490" s="2506"/>
      <c r="U490" s="2506"/>
      <c r="V490" s="2506"/>
      <c r="W490" s="2506"/>
      <c r="X490" s="2506"/>
      <c r="Y490" s="2506"/>
      <c r="Z490" s="2506"/>
      <c r="AA490" s="2506"/>
      <c r="AB490" s="2506"/>
      <c r="AC490" s="2506"/>
      <c r="AD490" s="2506"/>
      <c r="AE490" s="250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507"/>
      <c r="G491" s="2507"/>
      <c r="H491" s="2507"/>
      <c r="I491" s="2507"/>
      <c r="J491" s="2507"/>
      <c r="K491" s="2507"/>
      <c r="L491" s="2507"/>
      <c r="M491" s="2507"/>
      <c r="N491" s="2507"/>
      <c r="O491" s="2507"/>
      <c r="P491" s="2507"/>
      <c r="Q491" s="2507"/>
      <c r="R491" s="2507"/>
      <c r="S491" s="2507"/>
      <c r="T491" s="2507"/>
      <c r="U491" s="2507"/>
      <c r="V491" s="2507"/>
      <c r="W491" s="2507"/>
      <c r="X491" s="2507"/>
      <c r="Y491" s="2507"/>
      <c r="Z491" s="2507"/>
      <c r="AA491" s="2507"/>
      <c r="AB491" s="2507"/>
      <c r="AC491" s="2507"/>
      <c r="AD491" s="2507"/>
      <c r="AE491" s="250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511" t="s">
        <v>599</v>
      </c>
      <c r="G492" s="2511"/>
      <c r="H492" s="2511"/>
      <c r="I492" s="2511"/>
      <c r="J492" s="2511"/>
      <c r="K492" s="2511"/>
      <c r="L492" s="2511"/>
      <c r="M492" s="2511"/>
      <c r="N492" s="2511"/>
      <c r="O492" s="2511"/>
      <c r="P492" s="2511"/>
      <c r="Q492" s="2511"/>
      <c r="R492" s="2511"/>
      <c r="S492" s="2511"/>
      <c r="T492" s="2511"/>
      <c r="U492" s="2511"/>
      <c r="V492" s="2511"/>
      <c r="W492" s="2511"/>
      <c r="X492" s="2511"/>
      <c r="Y492" s="2511"/>
      <c r="Z492" s="2511"/>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504" t="s">
        <v>599</v>
      </c>
      <c r="D494" s="2505"/>
      <c r="E494" s="795" t="s">
        <v>765</v>
      </c>
      <c r="F494" s="2512" t="s">
        <v>1648</v>
      </c>
      <c r="G494" s="2512"/>
      <c r="H494" s="2512"/>
      <c r="I494" s="2512"/>
      <c r="J494" s="2512"/>
      <c r="K494" s="2512"/>
      <c r="L494" s="2512"/>
      <c r="M494" s="2512"/>
      <c r="N494" s="2512"/>
      <c r="O494" s="2512"/>
      <c r="P494" s="2512"/>
      <c r="Q494" s="2512"/>
      <c r="R494" s="2512"/>
      <c r="S494" s="2512"/>
      <c r="T494" s="2512"/>
      <c r="U494" s="2512"/>
      <c r="V494" s="2512"/>
      <c r="W494" s="2512"/>
      <c r="X494" s="2512"/>
      <c r="Y494" s="2512"/>
      <c r="Z494" s="2512"/>
      <c r="AA494" s="2512"/>
      <c r="AB494" s="2512"/>
      <c r="AC494" s="2512"/>
      <c r="AD494" s="2512"/>
      <c r="AE494" s="2512"/>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513"/>
      <c r="G495" s="2513"/>
      <c r="H495" s="2513"/>
      <c r="I495" s="2513"/>
      <c r="J495" s="2513"/>
      <c r="K495" s="2513"/>
      <c r="L495" s="2513"/>
      <c r="M495" s="2513"/>
      <c r="N495" s="2513"/>
      <c r="O495" s="2513"/>
      <c r="P495" s="2513"/>
      <c r="Q495" s="2513"/>
      <c r="R495" s="2513"/>
      <c r="S495" s="2513"/>
      <c r="T495" s="2513"/>
      <c r="U495" s="2513"/>
      <c r="V495" s="2513"/>
      <c r="W495" s="2513"/>
      <c r="X495" s="2513"/>
      <c r="Y495" s="2513"/>
      <c r="Z495" s="2513"/>
      <c r="AA495" s="2513"/>
      <c r="AB495" s="2513"/>
      <c r="AC495" s="2513"/>
      <c r="AD495" s="2513"/>
      <c r="AE495" s="2513"/>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514" t="s">
        <v>599</v>
      </c>
      <c r="G497" s="2514"/>
      <c r="H497" s="2514"/>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504" t="s">
        <v>599</v>
      </c>
      <c r="D499" s="2505"/>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527"/>
      <c r="D501" s="2515"/>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528" t="s">
        <v>599</v>
      </c>
      <c r="H502" s="2528"/>
      <c r="I502" s="2528"/>
      <c r="J502" s="2528"/>
      <c r="K502" s="2528"/>
      <c r="L502" s="2528"/>
      <c r="M502" s="2528"/>
      <c r="N502" s="2528"/>
      <c r="O502" s="2528"/>
      <c r="P502" s="2528"/>
      <c r="Q502" s="2528"/>
      <c r="R502" s="2528"/>
      <c r="S502" s="2528"/>
      <c r="T502" s="2528"/>
      <c r="U502" s="2528"/>
      <c r="V502" s="2528"/>
      <c r="W502" s="2528"/>
      <c r="X502" s="2528"/>
      <c r="Y502" s="2528"/>
      <c r="Z502" s="2528"/>
      <c r="AA502" s="2528"/>
      <c r="AB502" s="2528"/>
      <c r="AC502" s="2528"/>
      <c r="AD502" s="2528"/>
      <c r="AE502" s="2528"/>
      <c r="AF502" s="252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529" t="s">
        <v>599</v>
      </c>
      <c r="D504" s="2530"/>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529" t="s">
        <v>599</v>
      </c>
      <c r="D508" s="2530"/>
      <c r="F508" s="829" t="s">
        <v>1656</v>
      </c>
      <c r="G508" s="2482" t="s">
        <v>1657</v>
      </c>
      <c r="H508" s="2482"/>
      <c r="I508" s="2482"/>
      <c r="J508" s="2482"/>
      <c r="K508" s="2482"/>
      <c r="L508" s="2482"/>
      <c r="M508" s="2482"/>
      <c r="N508" s="2482"/>
      <c r="O508" s="2482"/>
      <c r="P508" s="2482"/>
      <c r="Q508" s="2482"/>
      <c r="R508" s="2482"/>
      <c r="S508" s="2482"/>
      <c r="T508" s="2482"/>
      <c r="U508" s="2482"/>
      <c r="V508" s="2482"/>
      <c r="W508" s="2482"/>
      <c r="X508" s="2482"/>
      <c r="Y508" s="2482"/>
      <c r="Z508" s="2482"/>
      <c r="AA508" s="2482"/>
      <c r="AB508" s="2482"/>
      <c r="AC508" s="2482"/>
      <c r="AD508" s="2482"/>
      <c r="AE508" s="2482"/>
      <c r="AF508" s="2482"/>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501"/>
      <c r="H509" s="2501"/>
      <c r="I509" s="2501"/>
      <c r="J509" s="2501"/>
      <c r="K509" s="2501"/>
      <c r="L509" s="2501"/>
      <c r="M509" s="2501"/>
      <c r="N509" s="2501"/>
      <c r="O509" s="2501"/>
      <c r="P509" s="2501"/>
      <c r="Q509" s="2501"/>
      <c r="R509" s="2501"/>
      <c r="S509" s="2501"/>
      <c r="T509" s="2501"/>
      <c r="U509" s="2501"/>
      <c r="V509" s="2501"/>
      <c r="W509" s="2501"/>
      <c r="X509" s="2501"/>
      <c r="Y509" s="2501"/>
      <c r="Z509" s="2501"/>
      <c r="AA509" s="2501"/>
      <c r="AB509" s="2501"/>
      <c r="AC509" s="2501"/>
      <c r="AD509" s="2501"/>
      <c r="AE509" s="2501"/>
      <c r="AF509" s="250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517" t="s">
        <v>599</v>
      </c>
      <c r="D512" s="2518"/>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519" t="s">
        <v>599</v>
      </c>
      <c r="G513" s="2519"/>
      <c r="H513" s="2519"/>
      <c r="I513" s="2519"/>
      <c r="J513" s="2519"/>
      <c r="K513" s="2519"/>
      <c r="L513" s="2519"/>
      <c r="M513" s="2519"/>
      <c r="N513" s="2519"/>
      <c r="O513" s="2519"/>
      <c r="P513" s="2519"/>
      <c r="Q513" s="2519"/>
      <c r="R513" s="2519"/>
      <c r="S513" s="2519"/>
      <c r="T513" s="2519"/>
      <c r="U513" s="2519"/>
      <c r="V513" s="2519"/>
      <c r="W513" s="2519"/>
      <c r="X513" s="2519"/>
      <c r="Y513" s="2519"/>
      <c r="Z513" s="2519"/>
      <c r="AA513" s="2519"/>
      <c r="AB513" s="2519"/>
      <c r="AC513" s="2519"/>
      <c r="AD513" s="2519"/>
      <c r="AE513" s="2519"/>
      <c r="AF513" s="251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520"/>
      <c r="G514" s="2520"/>
      <c r="H514" s="2520"/>
      <c r="I514" s="2520"/>
      <c r="J514" s="2520"/>
      <c r="K514" s="2520"/>
      <c r="L514" s="2520"/>
      <c r="M514" s="2520"/>
      <c r="N514" s="2520"/>
      <c r="O514" s="2520"/>
      <c r="P514" s="2520"/>
      <c r="Q514" s="2520"/>
      <c r="R514" s="2520"/>
      <c r="S514" s="2520"/>
      <c r="T514" s="2520"/>
      <c r="U514" s="2520"/>
      <c r="V514" s="2520"/>
      <c r="W514" s="2520"/>
      <c r="X514" s="2520"/>
      <c r="Y514" s="2520"/>
      <c r="Z514" s="2520"/>
      <c r="AA514" s="2520"/>
      <c r="AB514" s="2520"/>
      <c r="AC514" s="2520"/>
      <c r="AD514" s="2520"/>
      <c r="AE514" s="2520"/>
      <c r="AF514" s="252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2337</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2338</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2438">
        <f>SUM(AG468:AG513)</f>
        <v>0</v>
      </c>
      <c r="AL524" s="2439"/>
      <c r="AM524" s="2440"/>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2372" t="s">
        <v>1669</v>
      </c>
      <c r="AF527" s="2372"/>
      <c r="AG527" s="2372"/>
      <c r="AH527" s="2372"/>
      <c r="AI527" s="2372"/>
      <c r="AJ527" s="2372"/>
      <c r="AK527" s="2372"/>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2435" t="s">
        <v>599</v>
      </c>
      <c r="D530" s="2435"/>
      <c r="E530" s="585"/>
      <c r="F530" s="2521" t="s">
        <v>1670</v>
      </c>
      <c r="G530" s="2522"/>
      <c r="H530" s="2522"/>
      <c r="I530" s="2522"/>
      <c r="J530" s="2522"/>
      <c r="K530" s="2522"/>
      <c r="L530" s="2522"/>
      <c r="M530" s="2522"/>
      <c r="N530" s="2522"/>
      <c r="O530" s="2522"/>
      <c r="P530" s="2522"/>
      <c r="Q530" s="2522"/>
      <c r="R530" s="2522"/>
      <c r="S530" s="2522"/>
      <c r="T530" s="2522"/>
      <c r="U530" s="2522"/>
      <c r="V530" s="2522"/>
      <c r="W530" s="2522"/>
      <c r="X530" s="2522"/>
      <c r="Y530" s="2522"/>
      <c r="Z530" s="2522"/>
      <c r="AA530" s="2522"/>
      <c r="AB530" s="2522"/>
      <c r="AC530" s="2522"/>
      <c r="AD530" s="2522"/>
      <c r="AE530" s="2522"/>
      <c r="AF530" s="2522"/>
      <c r="AG530" s="2522"/>
      <c r="AH530" s="2522"/>
      <c r="AI530" s="2522"/>
      <c r="AJ530" s="2522"/>
      <c r="AK530" s="2522"/>
      <c r="AL530" s="2523"/>
      <c r="AM530" s="629"/>
      <c r="AN530" s="631"/>
    </row>
    <row r="531" spans="1:49" s="584" customFormat="1" ht="12.75" customHeight="1">
      <c r="A531" s="573"/>
      <c r="B531" s="573"/>
      <c r="C531" s="585"/>
      <c r="D531" s="585"/>
      <c r="E531" s="585"/>
      <c r="F531" s="2524"/>
      <c r="G531" s="2525"/>
      <c r="H531" s="2525"/>
      <c r="I531" s="2525"/>
      <c r="J531" s="2525"/>
      <c r="K531" s="2525"/>
      <c r="L531" s="2525"/>
      <c r="M531" s="2525"/>
      <c r="N531" s="2525"/>
      <c r="O531" s="2525"/>
      <c r="P531" s="2525"/>
      <c r="Q531" s="2525"/>
      <c r="R531" s="2525"/>
      <c r="S531" s="2525"/>
      <c r="T531" s="2525"/>
      <c r="U531" s="2525"/>
      <c r="V531" s="2525"/>
      <c r="W531" s="2525"/>
      <c r="X531" s="2525"/>
      <c r="Y531" s="2525"/>
      <c r="Z531" s="2525"/>
      <c r="AA531" s="2525"/>
      <c r="AB531" s="2525"/>
      <c r="AC531" s="2525"/>
      <c r="AD531" s="2525"/>
      <c r="AE531" s="2525"/>
      <c r="AF531" s="2525"/>
      <c r="AG531" s="2525"/>
      <c r="AH531" s="2525"/>
      <c r="AI531" s="2525"/>
      <c r="AJ531" s="2525"/>
      <c r="AK531" s="2525"/>
      <c r="AL531" s="252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2435" t="s">
        <v>553</v>
      </c>
      <c r="D533" s="2435"/>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2457" t="s">
        <v>1672</v>
      </c>
      <c r="G534" s="2458"/>
      <c r="H534" s="2458"/>
      <c r="I534" s="2458"/>
      <c r="J534" s="2458"/>
      <c r="K534" s="2458"/>
      <c r="L534" s="2458"/>
      <c r="M534" s="2458"/>
      <c r="N534" s="2458"/>
      <c r="O534" s="2458"/>
      <c r="P534" s="2458"/>
      <c r="Q534" s="2458"/>
      <c r="R534" s="2458"/>
      <c r="S534" s="2458"/>
      <c r="T534" s="2458"/>
      <c r="U534" s="2458"/>
      <c r="V534" s="2458"/>
      <c r="W534" s="2458"/>
      <c r="X534" s="2458"/>
      <c r="Y534" s="2458"/>
      <c r="Z534" s="2458"/>
      <c r="AA534" s="2458"/>
      <c r="AB534" s="2458"/>
      <c r="AC534" s="2458"/>
      <c r="AD534" s="2458"/>
      <c r="AE534" s="2458"/>
      <c r="AF534" s="2458"/>
      <c r="AG534" s="2458"/>
      <c r="AH534" s="2458"/>
      <c r="AI534" s="2458"/>
      <c r="AJ534" s="2458"/>
      <c r="AK534" s="2458"/>
      <c r="AL534" s="2459"/>
      <c r="AM534" s="629"/>
      <c r="AN534" s="631"/>
      <c r="AS534" s="904"/>
      <c r="AT534" s="904"/>
      <c r="AU534" s="904"/>
      <c r="AV534" s="904"/>
      <c r="AW534" s="904"/>
    </row>
    <row r="535" spans="1:49" s="584" customFormat="1" ht="12.75" customHeight="1">
      <c r="B535" s="840"/>
      <c r="C535" s="840"/>
      <c r="D535" s="840"/>
      <c r="E535" s="840"/>
      <c r="F535" s="2457"/>
      <c r="G535" s="2458"/>
      <c r="H535" s="2458"/>
      <c r="I535" s="2458"/>
      <c r="J535" s="2458"/>
      <c r="K535" s="2458"/>
      <c r="L535" s="2458"/>
      <c r="M535" s="2458"/>
      <c r="N535" s="2458"/>
      <c r="O535" s="2458"/>
      <c r="P535" s="2458"/>
      <c r="Q535" s="2458"/>
      <c r="R535" s="2458"/>
      <c r="S535" s="2458"/>
      <c r="T535" s="2458"/>
      <c r="U535" s="2458"/>
      <c r="V535" s="2458"/>
      <c r="W535" s="2458"/>
      <c r="X535" s="2458"/>
      <c r="Y535" s="2458"/>
      <c r="Z535" s="2458"/>
      <c r="AA535" s="2458"/>
      <c r="AB535" s="2458"/>
      <c r="AC535" s="2458"/>
      <c r="AD535" s="2458"/>
      <c r="AE535" s="2458"/>
      <c r="AF535" s="2458"/>
      <c r="AG535" s="2458"/>
      <c r="AH535" s="2458"/>
      <c r="AI535" s="2458"/>
      <c r="AJ535" s="2458"/>
      <c r="AK535" s="2458"/>
      <c r="AL535" s="2459"/>
      <c r="AM535" s="629"/>
      <c r="AN535" s="631"/>
    </row>
    <row r="536" spans="1:49" s="584" customFormat="1" ht="12.75" customHeight="1">
      <c r="B536" s="840"/>
      <c r="C536" s="840"/>
      <c r="D536" s="840"/>
      <c r="E536" s="840"/>
      <c r="F536" s="845" t="s">
        <v>2339</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2457" t="s">
        <v>1673</v>
      </c>
      <c r="G537" s="2458"/>
      <c r="H537" s="2458"/>
      <c r="I537" s="2458"/>
      <c r="J537" s="2458"/>
      <c r="K537" s="2458"/>
      <c r="L537" s="2458"/>
      <c r="M537" s="2458"/>
      <c r="N537" s="2458"/>
      <c r="O537" s="2458"/>
      <c r="P537" s="2458"/>
      <c r="Q537" s="2458"/>
      <c r="R537" s="2458"/>
      <c r="S537" s="2458"/>
      <c r="T537" s="2458"/>
      <c r="U537" s="2458"/>
      <c r="V537" s="2458"/>
      <c r="W537" s="2458"/>
      <c r="X537" s="2458"/>
      <c r="Y537" s="2458"/>
      <c r="Z537" s="2458"/>
      <c r="AA537" s="2458"/>
      <c r="AB537" s="2458"/>
      <c r="AC537" s="2458"/>
      <c r="AD537" s="2458"/>
      <c r="AE537" s="2458"/>
      <c r="AF537" s="2458"/>
      <c r="AG537" s="2458"/>
      <c r="AH537" s="2458"/>
      <c r="AI537" s="2458"/>
      <c r="AJ537" s="2458"/>
      <c r="AK537" s="2458"/>
      <c r="AL537" s="847"/>
      <c r="AM537" s="629"/>
      <c r="AN537" s="631"/>
    </row>
    <row r="538" spans="1:49" s="584" customFormat="1" ht="12.75" customHeight="1">
      <c r="B538" s="840"/>
      <c r="C538" s="840"/>
      <c r="D538" s="840"/>
      <c r="E538" s="840"/>
      <c r="F538" s="2460"/>
      <c r="G538" s="2461"/>
      <c r="H538" s="2461"/>
      <c r="I538" s="2461"/>
      <c r="J538" s="2461"/>
      <c r="K538" s="2461"/>
      <c r="L538" s="2461"/>
      <c r="M538" s="2461"/>
      <c r="N538" s="2461"/>
      <c r="O538" s="2461"/>
      <c r="P538" s="2461"/>
      <c r="Q538" s="2461"/>
      <c r="R538" s="2461"/>
      <c r="S538" s="2461"/>
      <c r="T538" s="2461"/>
      <c r="U538" s="2461"/>
      <c r="V538" s="2461"/>
      <c r="W538" s="2461"/>
      <c r="X538" s="2461"/>
      <c r="Y538" s="2461"/>
      <c r="Z538" s="2461"/>
      <c r="AA538" s="2461"/>
      <c r="AB538" s="2461"/>
      <c r="AC538" s="2461"/>
      <c r="AD538" s="2461"/>
      <c r="AE538" s="2461"/>
      <c r="AF538" s="2461"/>
      <c r="AG538" s="2461"/>
      <c r="AH538" s="2461"/>
      <c r="AI538" s="2461"/>
      <c r="AJ538" s="2461"/>
      <c r="AK538" s="246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585">
        <f>Application!AJ991</f>
        <v>57785942</v>
      </c>
      <c r="AQ539" s="2585"/>
      <c r="AR539" s="2585"/>
      <c r="AS539" s="584" t="s">
        <v>2526</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2441">
        <f>'Sources and Uses Budget'!S107+'Sources and Uses Budget'!T107</f>
        <v>74929187.599999994</v>
      </c>
      <c r="AG540" s="2441"/>
      <c r="AH540" s="2441"/>
      <c r="AI540" s="2441"/>
      <c r="AJ540" s="2441"/>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590">
        <f>IFERROR(AP548,0)</f>
        <v>109143291.29999998</v>
      </c>
      <c r="AG541" s="2590"/>
      <c r="AH541" s="2590"/>
      <c r="AI541" s="2590"/>
      <c r="AJ541" s="2590"/>
      <c r="AK541" s="629"/>
      <c r="AL541" s="629"/>
      <c r="AM541" s="629"/>
      <c r="AN541" s="631"/>
      <c r="AP541" s="2585">
        <f>Application!AJ1044</f>
        <v>12135047.82</v>
      </c>
      <c r="AQ541" s="2585"/>
      <c r="AR541" s="2585"/>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591">
        <f>IFERROR(ROUNDDOWN(IF(C533="YES",((1-(AF540/AF541))*2),(1-(AF540/AF541))),2),0)</f>
        <v>0.62</v>
      </c>
      <c r="AG542" s="2591"/>
      <c r="AH542" s="2591"/>
      <c r="AI542" s="2591"/>
      <c r="AJ542" s="2591"/>
      <c r="AK542" s="629"/>
      <c r="AL542" s="629"/>
      <c r="AM542" s="629"/>
      <c r="AN542" s="631"/>
      <c r="AP542" s="2588">
        <f>Application!AJ1048</f>
        <v>25425814.48</v>
      </c>
      <c r="AQ542" s="2588"/>
      <c r="AR542" s="2588"/>
      <c r="AS542" s="584" t="s">
        <v>2527</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584">
        <f>IF(((AP541+AP542)/AP539)&gt;0.8,0.8,((AP541+AP542)/AP539))</f>
        <v>0.64999999999999991</v>
      </c>
      <c r="AQ543" s="2584"/>
      <c r="AR543" s="2584"/>
      <c r="AS543" s="584" t="s">
        <v>2528</v>
      </c>
    </row>
    <row r="544" spans="1:49" s="584" customFormat="1" ht="12.75" customHeight="1">
      <c r="A544" s="658"/>
      <c r="B544" s="2537" t="s">
        <v>2340</v>
      </c>
      <c r="C544" s="2538"/>
      <c r="D544" s="2538"/>
      <c r="E544" s="2538"/>
      <c r="F544" s="2538"/>
      <c r="G544" s="2538"/>
      <c r="H544" s="2538"/>
      <c r="I544" s="2538"/>
      <c r="J544" s="2538"/>
      <c r="K544" s="2538"/>
      <c r="L544" s="2538"/>
      <c r="M544" s="2538"/>
      <c r="N544" s="2538"/>
      <c r="O544" s="2538"/>
      <c r="P544" s="2538"/>
      <c r="Q544" s="2538"/>
      <c r="R544" s="2538"/>
      <c r="S544" s="2538"/>
      <c r="T544" s="2538"/>
      <c r="U544" s="2538"/>
      <c r="V544" s="2538"/>
      <c r="W544" s="2538"/>
      <c r="X544" s="2538"/>
      <c r="Y544" s="2538"/>
      <c r="Z544" s="2538"/>
      <c r="AA544" s="2538"/>
      <c r="AB544" s="2538"/>
      <c r="AC544" s="2538"/>
      <c r="AD544" s="2538"/>
      <c r="AE544" s="2538"/>
      <c r="AF544" s="2538"/>
      <c r="AG544" s="2538"/>
      <c r="AH544" s="2538"/>
      <c r="AI544" s="2538"/>
      <c r="AJ544" s="2539"/>
      <c r="AK544" s="629"/>
      <c r="AL544" s="629"/>
      <c r="AM544" s="629"/>
      <c r="AN544" s="631"/>
    </row>
    <row r="545" spans="1:45" s="584" customFormat="1" ht="12.75" customHeight="1">
      <c r="A545" s="658"/>
      <c r="B545" s="2540"/>
      <c r="C545" s="2541"/>
      <c r="D545" s="2541"/>
      <c r="E545" s="2541"/>
      <c r="F545" s="2541"/>
      <c r="G545" s="2541"/>
      <c r="H545" s="2541"/>
      <c r="I545" s="2541"/>
      <c r="J545" s="2541"/>
      <c r="K545" s="2541"/>
      <c r="L545" s="2541"/>
      <c r="M545" s="2541"/>
      <c r="N545" s="2541"/>
      <c r="O545" s="2541"/>
      <c r="P545" s="2541"/>
      <c r="Q545" s="2541"/>
      <c r="R545" s="2541"/>
      <c r="S545" s="2541"/>
      <c r="T545" s="2541"/>
      <c r="U545" s="2541"/>
      <c r="V545" s="2541"/>
      <c r="W545" s="2541"/>
      <c r="X545" s="2541"/>
      <c r="Y545" s="2541"/>
      <c r="Z545" s="2541"/>
      <c r="AA545" s="2541"/>
      <c r="AB545" s="2541"/>
      <c r="AC545" s="2541"/>
      <c r="AD545" s="2541"/>
      <c r="AE545" s="2541"/>
      <c r="AF545" s="2541"/>
      <c r="AG545" s="2541"/>
      <c r="AH545" s="2541"/>
      <c r="AI545" s="2541"/>
      <c r="AJ545" s="2542"/>
      <c r="AK545" s="629"/>
      <c r="AL545" s="629"/>
      <c r="AM545" s="629"/>
      <c r="AN545" s="631"/>
      <c r="AP545" s="2585">
        <f>AP546-AP541-AP542</f>
        <v>71582428.999999985</v>
      </c>
      <c r="AQ545" s="2493"/>
      <c r="AR545" s="2493"/>
      <c r="AS545" s="584" t="s">
        <v>2530</v>
      </c>
    </row>
    <row r="546" spans="1:45" s="584" customFormat="1" ht="12.75" customHeight="1">
      <c r="A546" s="658"/>
      <c r="B546" s="2543"/>
      <c r="C546" s="2544"/>
      <c r="D546" s="2544"/>
      <c r="E546" s="2544"/>
      <c r="F546" s="2544"/>
      <c r="G546" s="2544"/>
      <c r="H546" s="2544"/>
      <c r="I546" s="2544"/>
      <c r="J546" s="2544"/>
      <c r="K546" s="2544"/>
      <c r="L546" s="2544"/>
      <c r="M546" s="2544"/>
      <c r="N546" s="2544"/>
      <c r="O546" s="2544"/>
      <c r="P546" s="2544"/>
      <c r="Q546" s="2544"/>
      <c r="R546" s="2544"/>
      <c r="S546" s="2544"/>
      <c r="T546" s="2544"/>
      <c r="U546" s="2544"/>
      <c r="V546" s="2544"/>
      <c r="W546" s="2544"/>
      <c r="X546" s="2544"/>
      <c r="Y546" s="2544"/>
      <c r="Z546" s="2544"/>
      <c r="AA546" s="2544"/>
      <c r="AB546" s="2544"/>
      <c r="AC546" s="2544"/>
      <c r="AD546" s="2544"/>
      <c r="AE546" s="2544"/>
      <c r="AF546" s="2544"/>
      <c r="AG546" s="2544"/>
      <c r="AH546" s="2544"/>
      <c r="AI546" s="2544"/>
      <c r="AJ546" s="2545"/>
      <c r="AK546" s="629"/>
      <c r="AL546" s="629"/>
      <c r="AM546" s="629"/>
      <c r="AN546" s="631"/>
      <c r="AP546" s="2585">
        <f>Application!AJ1052</f>
        <v>109143291.3</v>
      </c>
      <c r="AQ546" s="2585"/>
      <c r="AR546" s="2585"/>
      <c r="AS546" s="584" t="s">
        <v>2529</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2546">
        <f>IFERROR(IF(AND(C530="N/A",C533="N/A"),0,IF(AF542=0,0,IF((AF542*100)&gt;12,12,(AF542*100)))),0)</f>
        <v>12</v>
      </c>
      <c r="AL548" s="2546"/>
      <c r="AM548" s="2547"/>
      <c r="AN548" s="631"/>
      <c r="AP548" s="2601">
        <f>AP545+(AP539*AP543)</f>
        <v>109143291.29999998</v>
      </c>
      <c r="AQ548" s="2602"/>
      <c r="AR548" s="260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2330</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2372" t="s">
        <v>1422</v>
      </c>
      <c r="AF551" s="2372"/>
      <c r="AG551" s="2372"/>
      <c r="AH551" s="2372"/>
      <c r="AI551" s="2372"/>
      <c r="AJ551" s="2372"/>
      <c r="AK551" s="2372"/>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2458" t="s">
        <v>2331</v>
      </c>
      <c r="C553" s="2458"/>
      <c r="D553" s="2458"/>
      <c r="E553" s="2458"/>
      <c r="F553" s="2458"/>
      <c r="G553" s="2458"/>
      <c r="H553" s="2458"/>
      <c r="I553" s="2458"/>
      <c r="J553" s="2458"/>
      <c r="K553" s="2458"/>
      <c r="L553" s="2458"/>
      <c r="M553" s="2458"/>
      <c r="N553" s="2458"/>
      <c r="O553" s="2458"/>
      <c r="P553" s="2458"/>
      <c r="Q553" s="2458"/>
      <c r="R553" s="2458"/>
      <c r="S553" s="2458"/>
      <c r="T553" s="2458"/>
      <c r="U553" s="2458"/>
      <c r="V553" s="2458"/>
      <c r="W553" s="2458"/>
      <c r="X553" s="2458"/>
      <c r="Y553" s="2458"/>
      <c r="Z553" s="2458"/>
      <c r="AA553" s="2458"/>
      <c r="AB553" s="2458"/>
      <c r="AC553" s="2458"/>
      <c r="AD553" s="2458"/>
      <c r="AE553" s="2458"/>
      <c r="AF553" s="2458"/>
      <c r="AG553" s="2458"/>
      <c r="AH553" s="2458"/>
      <c r="AI553" s="2458"/>
      <c r="AJ553" s="2458"/>
      <c r="AK553" s="676"/>
      <c r="AL553" s="607"/>
      <c r="AM553" s="637"/>
      <c r="AN553" s="631"/>
    </row>
    <row r="554" spans="1:45" s="584" customFormat="1" ht="12.75" customHeight="1">
      <c r="A554" s="637"/>
      <c r="B554" s="2458"/>
      <c r="C554" s="2458"/>
      <c r="D554" s="2458"/>
      <c r="E554" s="2458"/>
      <c r="F554" s="2458"/>
      <c r="G554" s="2458"/>
      <c r="H554" s="2458"/>
      <c r="I554" s="2458"/>
      <c r="J554" s="2458"/>
      <c r="K554" s="2458"/>
      <c r="L554" s="2458"/>
      <c r="M554" s="2458"/>
      <c r="N554" s="2458"/>
      <c r="O554" s="2458"/>
      <c r="P554" s="2458"/>
      <c r="Q554" s="2458"/>
      <c r="R554" s="2458"/>
      <c r="S554" s="2458"/>
      <c r="T554" s="2458"/>
      <c r="U554" s="2458"/>
      <c r="V554" s="2458"/>
      <c r="W554" s="2458"/>
      <c r="X554" s="2458"/>
      <c r="Y554" s="2458"/>
      <c r="Z554" s="2458"/>
      <c r="AA554" s="2458"/>
      <c r="AB554" s="2458"/>
      <c r="AC554" s="2458"/>
      <c r="AD554" s="2458"/>
      <c r="AE554" s="2458"/>
      <c r="AF554" s="2458"/>
      <c r="AG554" s="2458"/>
      <c r="AH554" s="2458"/>
      <c r="AI554" s="2458"/>
      <c r="AJ554" s="2458"/>
      <c r="AK554" s="676"/>
      <c r="AL554" s="607"/>
      <c r="AM554" s="637"/>
      <c r="AN554" s="631"/>
    </row>
    <row r="555" spans="1:45" s="584" customFormat="1" ht="12.75" customHeight="1">
      <c r="A555" s="637"/>
      <c r="B555" s="2458"/>
      <c r="C555" s="2458"/>
      <c r="D555" s="2458"/>
      <c r="E555" s="2458"/>
      <c r="F555" s="2458"/>
      <c r="G555" s="2458"/>
      <c r="H555" s="2458"/>
      <c r="I555" s="2458"/>
      <c r="J555" s="2458"/>
      <c r="K555" s="2458"/>
      <c r="L555" s="2458"/>
      <c r="M555" s="2458"/>
      <c r="N555" s="2458"/>
      <c r="O555" s="2458"/>
      <c r="P555" s="2458"/>
      <c r="Q555" s="2458"/>
      <c r="R555" s="2458"/>
      <c r="S555" s="2458"/>
      <c r="T555" s="2458"/>
      <c r="U555" s="2458"/>
      <c r="V555" s="2458"/>
      <c r="W555" s="2458"/>
      <c r="X555" s="2458"/>
      <c r="Y555" s="2458"/>
      <c r="Z555" s="2458"/>
      <c r="AA555" s="2458"/>
      <c r="AB555" s="2458"/>
      <c r="AC555" s="2458"/>
      <c r="AD555" s="2458"/>
      <c r="AE555" s="2458"/>
      <c r="AF555" s="2458"/>
      <c r="AG555" s="2458"/>
      <c r="AH555" s="2458"/>
      <c r="AI555" s="2458"/>
      <c r="AJ555" s="2458"/>
      <c r="AK555" s="676"/>
      <c r="AL555" s="607"/>
      <c r="AM555" s="637"/>
      <c r="AN555" s="631"/>
    </row>
    <row r="556" spans="1:45" s="584" customFormat="1" ht="12.75" customHeight="1">
      <c r="A556" s="637"/>
      <c r="B556" s="2458"/>
      <c r="C556" s="2458"/>
      <c r="D556" s="2458"/>
      <c r="E556" s="2458"/>
      <c r="F556" s="2458"/>
      <c r="G556" s="2458"/>
      <c r="H556" s="2458"/>
      <c r="I556" s="2458"/>
      <c r="J556" s="2458"/>
      <c r="K556" s="2458"/>
      <c r="L556" s="2458"/>
      <c r="M556" s="2458"/>
      <c r="N556" s="2458"/>
      <c r="O556" s="2458"/>
      <c r="P556" s="2458"/>
      <c r="Q556" s="2458"/>
      <c r="R556" s="2458"/>
      <c r="S556" s="2458"/>
      <c r="T556" s="2458"/>
      <c r="U556" s="2458"/>
      <c r="V556" s="2458"/>
      <c r="W556" s="2458"/>
      <c r="X556" s="2458"/>
      <c r="Y556" s="2458"/>
      <c r="Z556" s="2458"/>
      <c r="AA556" s="2458"/>
      <c r="AB556" s="2458"/>
      <c r="AC556" s="2458"/>
      <c r="AD556" s="2458"/>
      <c r="AE556" s="2458"/>
      <c r="AF556" s="2458"/>
      <c r="AG556" s="2458"/>
      <c r="AH556" s="2458"/>
      <c r="AI556" s="2458"/>
      <c r="AJ556" s="2458"/>
      <c r="AK556" s="676"/>
      <c r="AL556" s="607"/>
      <c r="AM556" s="637"/>
      <c r="AN556" s="631"/>
    </row>
    <row r="557" spans="1:45" s="584" customFormat="1" ht="12.75" customHeight="1">
      <c r="A557" s="637"/>
      <c r="B557" s="2458"/>
      <c r="C557" s="2458"/>
      <c r="D557" s="2458"/>
      <c r="E557" s="2458"/>
      <c r="F557" s="2458"/>
      <c r="G557" s="2458"/>
      <c r="H557" s="2458"/>
      <c r="I557" s="2458"/>
      <c r="J557" s="2458"/>
      <c r="K557" s="2458"/>
      <c r="L557" s="2458"/>
      <c r="M557" s="2458"/>
      <c r="N557" s="2458"/>
      <c r="O557" s="2458"/>
      <c r="P557" s="2458"/>
      <c r="Q557" s="2458"/>
      <c r="R557" s="2458"/>
      <c r="S557" s="2458"/>
      <c r="T557" s="2458"/>
      <c r="U557" s="2458"/>
      <c r="V557" s="2458"/>
      <c r="W557" s="2458"/>
      <c r="X557" s="2458"/>
      <c r="Y557" s="2458"/>
      <c r="Z557" s="2458"/>
      <c r="AA557" s="2458"/>
      <c r="AB557" s="2458"/>
      <c r="AC557" s="2458"/>
      <c r="AD557" s="2458"/>
      <c r="AE557" s="2458"/>
      <c r="AF557" s="2458"/>
      <c r="AG557" s="2458"/>
      <c r="AH557" s="2458"/>
      <c r="AI557" s="2458"/>
      <c r="AJ557" s="2458"/>
      <c r="AK557" s="676"/>
      <c r="AL557" s="607"/>
      <c r="AM557" s="637"/>
      <c r="AN557" s="631"/>
    </row>
    <row r="558" spans="1:45" s="584" customFormat="1" ht="12.75" customHeight="1">
      <c r="A558" s="637"/>
      <c r="B558" s="2458"/>
      <c r="C558" s="2458"/>
      <c r="D558" s="2458"/>
      <c r="E558" s="2458"/>
      <c r="F558" s="2458"/>
      <c r="G558" s="2458"/>
      <c r="H558" s="2458"/>
      <c r="I558" s="2458"/>
      <c r="J558" s="2458"/>
      <c r="K558" s="2458"/>
      <c r="L558" s="2458"/>
      <c r="M558" s="2458"/>
      <c r="N558" s="2458"/>
      <c r="O558" s="2458"/>
      <c r="P558" s="2458"/>
      <c r="Q558" s="2458"/>
      <c r="R558" s="2458"/>
      <c r="S558" s="2458"/>
      <c r="T558" s="2458"/>
      <c r="U558" s="2458"/>
      <c r="V558" s="2458"/>
      <c r="W558" s="2458"/>
      <c r="X558" s="2458"/>
      <c r="Y558" s="2458"/>
      <c r="Z558" s="2458"/>
      <c r="AA558" s="2458"/>
      <c r="AB558" s="2458"/>
      <c r="AC558" s="2458"/>
      <c r="AD558" s="2458"/>
      <c r="AE558" s="2458"/>
      <c r="AF558" s="2458"/>
      <c r="AG558" s="2458"/>
      <c r="AH558" s="2458"/>
      <c r="AI558" s="2458"/>
      <c r="AJ558" s="2458"/>
      <c r="AK558" s="676"/>
      <c r="AL558" s="607"/>
      <c r="AM558" s="637"/>
      <c r="AN558" s="631"/>
    </row>
    <row r="559" spans="1:45" s="584" customFormat="1" ht="12.75" customHeight="1">
      <c r="A559" s="637"/>
      <c r="B559" s="2458"/>
      <c r="C559" s="2458"/>
      <c r="D559" s="2458"/>
      <c r="E559" s="2458"/>
      <c r="F559" s="2458"/>
      <c r="G559" s="2458"/>
      <c r="H559" s="2458"/>
      <c r="I559" s="2458"/>
      <c r="J559" s="2458"/>
      <c r="K559" s="2458"/>
      <c r="L559" s="2458"/>
      <c r="M559" s="2458"/>
      <c r="N559" s="2458"/>
      <c r="O559" s="2458"/>
      <c r="P559" s="2458"/>
      <c r="Q559" s="2458"/>
      <c r="R559" s="2458"/>
      <c r="S559" s="2458"/>
      <c r="T559" s="2458"/>
      <c r="U559" s="2458"/>
      <c r="V559" s="2458"/>
      <c r="W559" s="2458"/>
      <c r="X559" s="2458"/>
      <c r="Y559" s="2458"/>
      <c r="Z559" s="2458"/>
      <c r="AA559" s="2458"/>
      <c r="AB559" s="2458"/>
      <c r="AC559" s="2458"/>
      <c r="AD559" s="2458"/>
      <c r="AE559" s="2458"/>
      <c r="AF559" s="2458"/>
      <c r="AG559" s="2458"/>
      <c r="AH559" s="2458"/>
      <c r="AI559" s="2458"/>
      <c r="AJ559" s="2458"/>
      <c r="AK559" s="676"/>
      <c r="AL559" s="607"/>
      <c r="AM559" s="637"/>
      <c r="AN559" s="631"/>
    </row>
    <row r="560" spans="1:45" ht="12.75" customHeight="1">
      <c r="A560" s="637"/>
      <c r="B560" s="2458"/>
      <c r="C560" s="2458"/>
      <c r="D560" s="2458"/>
      <c r="E560" s="2458"/>
      <c r="F560" s="2458"/>
      <c r="G560" s="2458"/>
      <c r="H560" s="2458"/>
      <c r="I560" s="2458"/>
      <c r="J560" s="2458"/>
      <c r="K560" s="2458"/>
      <c r="L560" s="2458"/>
      <c r="M560" s="2458"/>
      <c r="N560" s="2458"/>
      <c r="O560" s="2458"/>
      <c r="P560" s="2458"/>
      <c r="Q560" s="2458"/>
      <c r="R560" s="2458"/>
      <c r="S560" s="2458"/>
      <c r="T560" s="2458"/>
      <c r="U560" s="2458"/>
      <c r="V560" s="2458"/>
      <c r="W560" s="2458"/>
      <c r="X560" s="2458"/>
      <c r="Y560" s="2458"/>
      <c r="Z560" s="2458"/>
      <c r="AA560" s="2458"/>
      <c r="AB560" s="2458"/>
      <c r="AC560" s="2458"/>
      <c r="AD560" s="2458"/>
      <c r="AE560" s="2458"/>
      <c r="AF560" s="2458"/>
      <c r="AG560" s="2458"/>
      <c r="AH560" s="2458"/>
      <c r="AI560" s="2458"/>
      <c r="AJ560" s="2458"/>
      <c r="AK560" s="676"/>
      <c r="AL560" s="607"/>
      <c r="AM560" s="637"/>
    </row>
    <row r="561" spans="1:42" s="584" customFormat="1" ht="12.75" customHeight="1">
      <c r="B561" s="2458"/>
      <c r="C561" s="2458"/>
      <c r="D561" s="2458"/>
      <c r="E561" s="2458"/>
      <c r="F561" s="2458"/>
      <c r="G561" s="2458"/>
      <c r="H561" s="2458"/>
      <c r="I561" s="2458"/>
      <c r="J561" s="2458"/>
      <c r="K561" s="2458"/>
      <c r="L561" s="2458"/>
      <c r="M561" s="2458"/>
      <c r="N561" s="2458"/>
      <c r="O561" s="2458"/>
      <c r="P561" s="2458"/>
      <c r="Q561" s="2458"/>
      <c r="R561" s="2458"/>
      <c r="S561" s="2458"/>
      <c r="T561" s="2458"/>
      <c r="U561" s="2458"/>
      <c r="V561" s="2458"/>
      <c r="W561" s="2458"/>
      <c r="X561" s="2458"/>
      <c r="Y561" s="2458"/>
      <c r="Z561" s="2458"/>
      <c r="AA561" s="2458"/>
      <c r="AB561" s="2458"/>
      <c r="AC561" s="2458"/>
      <c r="AD561" s="2458"/>
      <c r="AE561" s="2458"/>
      <c r="AF561" s="2458"/>
      <c r="AG561" s="2458"/>
      <c r="AH561" s="2458"/>
      <c r="AI561" s="2458"/>
      <c r="AJ561" s="245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404" t="s">
        <v>1446</v>
      </c>
      <c r="AG567" s="2404"/>
      <c r="AH567" s="2404"/>
      <c r="AI567" s="2404"/>
      <c r="AJ567" s="2404"/>
      <c r="AK567" s="2404"/>
      <c r="AL567" s="2404"/>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2531</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2532</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404" t="s">
        <v>1504</v>
      </c>
      <c r="AG574" s="2404"/>
      <c r="AH574" s="2404"/>
      <c r="AI574" s="2404"/>
      <c r="AJ574" s="2404"/>
      <c r="AK574" s="2404"/>
      <c r="AL574" s="2404"/>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279</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404" t="s">
        <v>1486</v>
      </c>
      <c r="AG580" s="2404"/>
      <c r="AH580" s="2404"/>
      <c r="AI580" s="2404"/>
      <c r="AJ580" s="2404"/>
      <c r="AK580" s="2404"/>
      <c r="AL580" s="2404"/>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2534</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2535</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2536</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404" t="s">
        <v>1507</v>
      </c>
      <c r="AG586" s="2404"/>
      <c r="AH586" s="2404"/>
      <c r="AI586" s="2404"/>
      <c r="AJ586" s="2404"/>
      <c r="AK586" s="2404"/>
      <c r="AL586" s="2404"/>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2537</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2538</v>
      </c>
    </row>
    <row r="590" spans="1:53" s="584" customFormat="1" ht="12.75" customHeight="1">
      <c r="B590" s="644"/>
      <c r="C590" s="966"/>
      <c r="D590" s="697"/>
      <c r="E590" s="570" t="s">
        <v>2054</v>
      </c>
      <c r="O590" s="2489" t="s">
        <v>1289</v>
      </c>
      <c r="P590" s="2489"/>
      <c r="Q590" s="2489"/>
      <c r="R590" s="2489"/>
      <c r="S590" s="2489"/>
      <c r="T590" s="2489"/>
      <c r="U590" s="2489"/>
      <c r="V590" s="2489"/>
      <c r="W590" s="2489"/>
      <c r="X590" s="2489"/>
      <c r="Y590" s="2489"/>
      <c r="Z590" s="2489"/>
      <c r="AA590" s="2489"/>
      <c r="AB590" s="248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404" t="s">
        <v>1460</v>
      </c>
      <c r="AG592" s="2404"/>
      <c r="AH592" s="2404"/>
      <c r="AI592" s="2404"/>
      <c r="AJ592" s="2404"/>
      <c r="AK592" s="2404"/>
      <c r="AL592" s="2404"/>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1508</v>
      </c>
      <c r="E595" s="971"/>
      <c r="F595" s="971"/>
      <c r="G595" s="971"/>
      <c r="H595" s="2487" t="s">
        <v>695</v>
      </c>
      <c r="I595" s="2487"/>
      <c r="J595" s="971"/>
      <c r="K595" s="971"/>
      <c r="L595" s="971"/>
      <c r="N595" s="22"/>
      <c r="O595" s="22"/>
      <c r="P595" s="22"/>
      <c r="Q595" s="1195" t="s">
        <v>2533</v>
      </c>
      <c r="R595" s="2490"/>
      <c r="S595" s="2490"/>
      <c r="T595" s="2490"/>
      <c r="U595" s="2490"/>
      <c r="V595" s="2490"/>
      <c r="W595" s="2490"/>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491" t="str">
        <f>IF(AND(H595="(i)",NOT(AP571)),AO588,IF(AND(H595="(iv)",OR(R595=AO584,R595=AO583),NOT(AP572)),AO589,""))</f>
        <v/>
      </c>
      <c r="Z596" s="2491"/>
      <c r="AA596" s="2491"/>
      <c r="AB596" s="2491"/>
      <c r="AC596" s="2491"/>
      <c r="AD596" s="2491"/>
      <c r="AE596" s="2491"/>
      <c r="AF596" s="2491"/>
      <c r="AG596" s="2491"/>
      <c r="AH596" s="2491"/>
      <c r="AI596" s="2491"/>
      <c r="AJ596" s="2491"/>
      <c r="AK596" s="2491"/>
      <c r="AL596" s="2491"/>
      <c r="AM596" s="2492"/>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491"/>
      <c r="Z597" s="2491"/>
      <c r="AA597" s="2491"/>
      <c r="AB597" s="2491"/>
      <c r="AC597" s="2491"/>
      <c r="AD597" s="2491"/>
      <c r="AE597" s="2491"/>
      <c r="AF597" s="2491"/>
      <c r="AG597" s="2491"/>
      <c r="AH597" s="2491"/>
      <c r="AI597" s="2491"/>
      <c r="AJ597" s="2491"/>
      <c r="AK597" s="2491"/>
      <c r="AL597" s="2491"/>
      <c r="AM597" s="2492"/>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1508</v>
      </c>
      <c r="F603" s="971"/>
      <c r="G603" s="971"/>
      <c r="I603" s="2488" t="s">
        <v>599</v>
      </c>
      <c r="J603" s="2488"/>
      <c r="K603" s="2488"/>
      <c r="L603" s="2488"/>
      <c r="M603" s="2488"/>
      <c r="N603" s="2488"/>
      <c r="O603" s="2488"/>
      <c r="P603" s="2488"/>
      <c r="Q603" s="2488"/>
      <c r="R603" s="2488"/>
      <c r="S603" s="2488"/>
      <c r="T603" s="2488"/>
      <c r="U603" s="2488"/>
      <c r="V603" s="2488"/>
      <c r="W603" s="2488"/>
      <c r="X603" s="2488"/>
      <c r="Y603" s="2488"/>
      <c r="Z603" s="2488"/>
      <c r="AA603" s="2488"/>
      <c r="AB603" s="2488"/>
      <c r="AC603" s="2488"/>
      <c r="AD603" s="2488"/>
      <c r="AE603" s="2488"/>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431" t="s">
        <v>599</v>
      </c>
      <c r="C605" s="2431"/>
      <c r="D605" s="676"/>
      <c r="E605" s="2458" t="s">
        <v>1511</v>
      </c>
      <c r="F605" s="2458"/>
      <c r="G605" s="2458"/>
      <c r="H605" s="2458"/>
      <c r="I605" s="2458"/>
      <c r="J605" s="2458"/>
      <c r="K605" s="2458"/>
      <c r="L605" s="2458"/>
      <c r="M605" s="2458"/>
      <c r="N605" s="2458"/>
      <c r="O605" s="2458"/>
      <c r="P605" s="2458"/>
      <c r="Q605" s="2458"/>
      <c r="R605" s="2458"/>
      <c r="S605" s="2458"/>
      <c r="T605" s="2458"/>
      <c r="U605" s="2458"/>
      <c r="V605" s="2458"/>
      <c r="W605" s="2458"/>
      <c r="X605" s="2458"/>
      <c r="Y605" s="2458"/>
      <c r="Z605" s="2458"/>
      <c r="AA605" s="2458"/>
      <c r="AB605" s="2458"/>
      <c r="AC605" s="2458"/>
      <c r="AD605" s="2458"/>
      <c r="AE605" s="2458"/>
      <c r="AF605" s="2458"/>
      <c r="AG605" s="2458"/>
      <c r="AH605" s="676"/>
      <c r="AI605" s="676"/>
      <c r="AJ605" s="676"/>
      <c r="AK605" s="676"/>
      <c r="AL605" s="676"/>
      <c r="AN605" s="631"/>
    </row>
    <row r="606" spans="2:47" s="584" customFormat="1" ht="12.75" customHeight="1">
      <c r="B606" s="570"/>
      <c r="C606" s="968"/>
      <c r="D606" s="676"/>
      <c r="E606" s="2458"/>
      <c r="F606" s="2458"/>
      <c r="G606" s="2458"/>
      <c r="H606" s="2458"/>
      <c r="I606" s="2458"/>
      <c r="J606" s="2458"/>
      <c r="K606" s="2458"/>
      <c r="L606" s="2458"/>
      <c r="M606" s="2458"/>
      <c r="N606" s="2458"/>
      <c r="O606" s="2458"/>
      <c r="P606" s="2458"/>
      <c r="Q606" s="2458"/>
      <c r="R606" s="2458"/>
      <c r="S606" s="2458"/>
      <c r="T606" s="2458"/>
      <c r="U606" s="2458"/>
      <c r="V606" s="2458"/>
      <c r="W606" s="2458"/>
      <c r="X606" s="2458"/>
      <c r="Y606" s="2458"/>
      <c r="Z606" s="2458"/>
      <c r="AA606" s="2458"/>
      <c r="AB606" s="2458"/>
      <c r="AC606" s="2458"/>
      <c r="AD606" s="2458"/>
      <c r="AE606" s="2458"/>
      <c r="AF606" s="2458"/>
      <c r="AG606" s="2458"/>
      <c r="AH606" s="676"/>
      <c r="AI606" s="676"/>
      <c r="AJ606" s="676"/>
      <c r="AK606" s="676"/>
      <c r="AL606" s="676"/>
      <c r="AN606" s="631"/>
    </row>
    <row r="607" spans="2:47" s="584" customFormat="1" ht="12.75" customHeight="1">
      <c r="B607" s="570"/>
      <c r="C607" s="968"/>
      <c r="D607" s="676"/>
      <c r="E607" s="2458"/>
      <c r="F607" s="2458"/>
      <c r="G607" s="2458"/>
      <c r="H607" s="2458"/>
      <c r="I607" s="2458"/>
      <c r="J607" s="2458"/>
      <c r="K607" s="2458"/>
      <c r="L607" s="2458"/>
      <c r="M607" s="2458"/>
      <c r="N607" s="2458"/>
      <c r="O607" s="2458"/>
      <c r="P607" s="2458"/>
      <c r="Q607" s="2458"/>
      <c r="R607" s="2458"/>
      <c r="S607" s="2458"/>
      <c r="T607" s="2458"/>
      <c r="U607" s="2458"/>
      <c r="V607" s="2458"/>
      <c r="W607" s="2458"/>
      <c r="X607" s="2458"/>
      <c r="Y607" s="2458"/>
      <c r="Z607" s="2458"/>
      <c r="AA607" s="2458"/>
      <c r="AB607" s="2458"/>
      <c r="AC607" s="2458"/>
      <c r="AD607" s="2458"/>
      <c r="AE607" s="2458"/>
      <c r="AF607" s="2458"/>
      <c r="AG607" s="2458"/>
      <c r="AH607" s="676"/>
      <c r="AI607" s="676"/>
      <c r="AJ607" s="676"/>
      <c r="AK607" s="676"/>
      <c r="AL607" s="676"/>
      <c r="AN607" s="631"/>
    </row>
    <row r="608" spans="2:47" s="584" customFormat="1" ht="12.75" customHeight="1">
      <c r="B608" s="570"/>
      <c r="C608" s="968"/>
      <c r="D608" s="676"/>
      <c r="E608" s="2458"/>
      <c r="F608" s="2458"/>
      <c r="G608" s="2458"/>
      <c r="H608" s="2458"/>
      <c r="I608" s="2458"/>
      <c r="J608" s="2458"/>
      <c r="K608" s="2458"/>
      <c r="L608" s="2458"/>
      <c r="M608" s="2458"/>
      <c r="N608" s="2458"/>
      <c r="O608" s="2458"/>
      <c r="P608" s="2458"/>
      <c r="Q608" s="2458"/>
      <c r="R608" s="2458"/>
      <c r="S608" s="2458"/>
      <c r="T608" s="2458"/>
      <c r="U608" s="2458"/>
      <c r="V608" s="2458"/>
      <c r="W608" s="2458"/>
      <c r="X608" s="2458"/>
      <c r="Y608" s="2458"/>
      <c r="Z608" s="2458"/>
      <c r="AA608" s="2458"/>
      <c r="AB608" s="2458"/>
      <c r="AC608" s="2458"/>
      <c r="AD608" s="2458"/>
      <c r="AE608" s="2458"/>
      <c r="AF608" s="2458"/>
      <c r="AG608" s="245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2438">
        <f>VLOOKUP($H$595,$AO$575:$AP$580,2,FALSE)+IF(R595=AO583,0,VLOOKUP($I$603,$AO$602:$AP$604,2,FALSE))</f>
        <v>7</v>
      </c>
      <c r="AK610" s="2440"/>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486" t="s">
        <v>1881</v>
      </c>
      <c r="F614" s="2486"/>
      <c r="G614" s="2486"/>
      <c r="H614" s="2486"/>
      <c r="I614" s="2486"/>
      <c r="J614" s="2486"/>
      <c r="K614" s="2486"/>
      <c r="L614" s="2486"/>
      <c r="M614" s="2486"/>
      <c r="N614" s="2486"/>
      <c r="O614" s="2486"/>
      <c r="P614" s="2486"/>
      <c r="Q614" s="2486"/>
      <c r="R614" s="2486"/>
      <c r="S614" s="2486"/>
      <c r="T614" s="2486"/>
      <c r="U614" s="2486"/>
      <c r="V614" s="2486"/>
      <c r="W614" s="2486"/>
      <c r="X614" s="2486"/>
      <c r="Y614" s="2486"/>
      <c r="Z614" s="2486"/>
      <c r="AA614" s="2486"/>
      <c r="AB614" s="2486"/>
      <c r="AC614" s="2486"/>
      <c r="AD614" s="2486"/>
      <c r="AE614" s="573"/>
      <c r="AF614" s="2404" t="s">
        <v>1460</v>
      </c>
      <c r="AG614" s="2404"/>
      <c r="AH614" s="2404"/>
      <c r="AI614" s="2404"/>
      <c r="AJ614" s="2404"/>
      <c r="AK614" s="2404"/>
      <c r="AL614" s="2404"/>
      <c r="AM614" s="584"/>
      <c r="AN614" s="712"/>
    </row>
    <row r="615" spans="1:42" s="584" customFormat="1" ht="12.75" customHeight="1">
      <c r="A615" s="713"/>
      <c r="B615" s="570"/>
      <c r="C615" s="968"/>
      <c r="D615" s="697"/>
      <c r="E615" s="2486"/>
      <c r="F615" s="2486"/>
      <c r="G615" s="2486"/>
      <c r="H615" s="2486"/>
      <c r="I615" s="2486"/>
      <c r="J615" s="2486"/>
      <c r="K615" s="2486"/>
      <c r="L615" s="2486"/>
      <c r="M615" s="2486"/>
      <c r="N615" s="2486"/>
      <c r="O615" s="2486"/>
      <c r="P615" s="2486"/>
      <c r="Q615" s="2486"/>
      <c r="R615" s="2486"/>
      <c r="S615" s="2486"/>
      <c r="T615" s="2486"/>
      <c r="U615" s="2486"/>
      <c r="V615" s="2486"/>
      <c r="W615" s="2486"/>
      <c r="X615" s="2486"/>
      <c r="Y615" s="2486"/>
      <c r="Z615" s="2486"/>
      <c r="AA615" s="2486"/>
      <c r="AB615" s="2486"/>
      <c r="AC615" s="2486"/>
      <c r="AD615" s="2486"/>
      <c r="AE615" s="570"/>
      <c r="AF615" s="570"/>
      <c r="AG615" s="570"/>
      <c r="AH615" s="570"/>
      <c r="AI615" s="570"/>
      <c r="AJ615" s="570"/>
      <c r="AK615" s="570"/>
      <c r="AL615" s="570"/>
      <c r="AN615" s="631"/>
    </row>
    <row r="616" spans="1:42" s="584" customFormat="1" ht="12.75" customHeight="1">
      <c r="B616" s="570"/>
      <c r="C616" s="966"/>
      <c r="D616" s="697"/>
      <c r="E616" s="2486"/>
      <c r="F616" s="2486"/>
      <c r="G616" s="2486"/>
      <c r="H616" s="2486"/>
      <c r="I616" s="2486"/>
      <c r="J616" s="2486"/>
      <c r="K616" s="2486"/>
      <c r="L616" s="2486"/>
      <c r="M616" s="2486"/>
      <c r="N616" s="2486"/>
      <c r="O616" s="2486"/>
      <c r="P616" s="2486"/>
      <c r="Q616" s="2486"/>
      <c r="R616" s="2486"/>
      <c r="S616" s="2486"/>
      <c r="T616" s="2486"/>
      <c r="U616" s="2486"/>
      <c r="V616" s="2486"/>
      <c r="W616" s="2486"/>
      <c r="X616" s="2486"/>
      <c r="Y616" s="2486"/>
      <c r="Z616" s="2486"/>
      <c r="AA616" s="2486"/>
      <c r="AB616" s="2486"/>
      <c r="AC616" s="2486"/>
      <c r="AD616" s="2486"/>
      <c r="AE616" s="570"/>
      <c r="AF616" s="570"/>
      <c r="AG616" s="570"/>
      <c r="AH616" s="570"/>
      <c r="AI616" s="570"/>
      <c r="AJ616" s="570"/>
      <c r="AK616" s="570"/>
      <c r="AL616" s="570"/>
      <c r="AN616" s="631"/>
    </row>
    <row r="617" spans="1:42" s="584" customFormat="1" ht="12.75" customHeight="1">
      <c r="B617" s="570"/>
      <c r="C617" s="966"/>
      <c r="D617" s="697"/>
      <c r="E617" s="2486"/>
      <c r="F617" s="2486"/>
      <c r="G617" s="2486"/>
      <c r="H617" s="2486"/>
      <c r="I617" s="2486"/>
      <c r="J617" s="2486"/>
      <c r="K617" s="2486"/>
      <c r="L617" s="2486"/>
      <c r="M617" s="2486"/>
      <c r="N617" s="2486"/>
      <c r="O617" s="2486"/>
      <c r="P617" s="2486"/>
      <c r="Q617" s="2486"/>
      <c r="R617" s="2486"/>
      <c r="S617" s="2486"/>
      <c r="T617" s="2486"/>
      <c r="U617" s="2486"/>
      <c r="V617" s="2486"/>
      <c r="W617" s="2486"/>
      <c r="X617" s="2486"/>
      <c r="Y617" s="2486"/>
      <c r="Z617" s="2486"/>
      <c r="AA617" s="2486"/>
      <c r="AB617" s="2486"/>
      <c r="AC617" s="2486"/>
      <c r="AD617" s="2486"/>
      <c r="AE617" s="570"/>
      <c r="AF617" s="570"/>
      <c r="AG617" s="570"/>
      <c r="AH617" s="570"/>
      <c r="AI617" s="570"/>
      <c r="AJ617" s="570"/>
      <c r="AK617" s="570"/>
      <c r="AL617" s="570"/>
      <c r="AN617" s="631"/>
    </row>
    <row r="618" spans="1:42" s="584" customFormat="1" ht="12.75" customHeight="1">
      <c r="B618" s="570"/>
      <c r="C618" s="966"/>
      <c r="D618" s="697"/>
      <c r="E618" s="2486"/>
      <c r="F618" s="2486"/>
      <c r="G618" s="2486"/>
      <c r="H618" s="2486"/>
      <c r="I618" s="2486"/>
      <c r="J618" s="2486"/>
      <c r="K618" s="2486"/>
      <c r="L618" s="2486"/>
      <c r="M618" s="2486"/>
      <c r="N618" s="2486"/>
      <c r="O618" s="2486"/>
      <c r="P618" s="2486"/>
      <c r="Q618" s="2486"/>
      <c r="R618" s="2486"/>
      <c r="S618" s="2486"/>
      <c r="T618" s="2486"/>
      <c r="U618" s="2486"/>
      <c r="V618" s="2486"/>
      <c r="W618" s="2486"/>
      <c r="X618" s="2486"/>
      <c r="Y618" s="2486"/>
      <c r="Z618" s="2486"/>
      <c r="AA618" s="2486"/>
      <c r="AB618" s="2486"/>
      <c r="AC618" s="2486"/>
      <c r="AD618" s="2486"/>
      <c r="AE618" s="570"/>
      <c r="AF618" s="570"/>
      <c r="AG618" s="570"/>
      <c r="AH618" s="570"/>
      <c r="AI618" s="570"/>
      <c r="AJ618" s="570"/>
      <c r="AK618" s="570"/>
      <c r="AL618" s="570"/>
      <c r="AN618" s="631"/>
    </row>
    <row r="619" spans="1:42" s="584" customFormat="1" ht="12.75" customHeight="1">
      <c r="B619" s="570"/>
      <c r="C619" s="966"/>
      <c r="D619" s="697"/>
      <c r="E619" s="2486"/>
      <c r="F619" s="2486"/>
      <c r="G619" s="2486"/>
      <c r="H619" s="2486"/>
      <c r="I619" s="2486"/>
      <c r="J619" s="2486"/>
      <c r="K619" s="2486"/>
      <c r="L619" s="2486"/>
      <c r="M619" s="2486"/>
      <c r="N619" s="2486"/>
      <c r="O619" s="2486"/>
      <c r="P619" s="2486"/>
      <c r="Q619" s="2486"/>
      <c r="R619" s="2486"/>
      <c r="S619" s="2486"/>
      <c r="T619" s="2486"/>
      <c r="U619" s="2486"/>
      <c r="V619" s="2486"/>
      <c r="W619" s="2486"/>
      <c r="X619" s="2486"/>
      <c r="Y619" s="2486"/>
      <c r="Z619" s="2486"/>
      <c r="AA619" s="2486"/>
      <c r="AB619" s="2486"/>
      <c r="AC619" s="2486"/>
      <c r="AD619" s="2486"/>
      <c r="AE619" s="570"/>
      <c r="AF619" s="570"/>
      <c r="AG619" s="570"/>
      <c r="AH619" s="570"/>
      <c r="AI619" s="570"/>
      <c r="AJ619" s="570"/>
      <c r="AK619" s="570"/>
      <c r="AL619" s="570"/>
      <c r="AN619" s="631"/>
    </row>
    <row r="620" spans="1:42" s="584" customFormat="1" ht="12.75" customHeight="1">
      <c r="A620" s="671"/>
      <c r="B620" s="650"/>
      <c r="C620" s="975"/>
      <c r="D620" s="697"/>
      <c r="E620" s="2486"/>
      <c r="F620" s="2486"/>
      <c r="G620" s="2486"/>
      <c r="H620" s="2486"/>
      <c r="I620" s="2486"/>
      <c r="J620" s="2486"/>
      <c r="K620" s="2486"/>
      <c r="L620" s="2486"/>
      <c r="M620" s="2486"/>
      <c r="N620" s="2486"/>
      <c r="O620" s="2486"/>
      <c r="P620" s="2486"/>
      <c r="Q620" s="2486"/>
      <c r="R620" s="2486"/>
      <c r="S620" s="2486"/>
      <c r="T620" s="2486"/>
      <c r="U620" s="2486"/>
      <c r="V620" s="2486"/>
      <c r="W620" s="2486"/>
      <c r="X620" s="2486"/>
      <c r="Y620" s="2486"/>
      <c r="Z620" s="2486"/>
      <c r="AA620" s="2486"/>
      <c r="AB620" s="2486"/>
      <c r="AC620" s="2486"/>
      <c r="AD620" s="2486"/>
      <c r="AE620" s="650"/>
      <c r="AF620" s="650"/>
      <c r="AG620" s="650"/>
      <c r="AH620" s="650"/>
      <c r="AI620" s="650"/>
      <c r="AJ620" s="650"/>
      <c r="AK620" s="570"/>
      <c r="AL620" s="570"/>
      <c r="AN620" s="631"/>
    </row>
    <row r="621" spans="1:42" s="584" customFormat="1" ht="12.75" customHeight="1">
      <c r="B621" s="650"/>
      <c r="C621" s="975"/>
      <c r="D621" s="697"/>
      <c r="E621" s="2486"/>
      <c r="F621" s="2486"/>
      <c r="G621" s="2486"/>
      <c r="H621" s="2486"/>
      <c r="I621" s="2486"/>
      <c r="J621" s="2486"/>
      <c r="K621" s="2486"/>
      <c r="L621" s="2486"/>
      <c r="M621" s="2486"/>
      <c r="N621" s="2486"/>
      <c r="O621" s="2486"/>
      <c r="P621" s="2486"/>
      <c r="Q621" s="2486"/>
      <c r="R621" s="2486"/>
      <c r="S621" s="2486"/>
      <c r="T621" s="2486"/>
      <c r="U621" s="2486"/>
      <c r="V621" s="2486"/>
      <c r="W621" s="2486"/>
      <c r="X621" s="2486"/>
      <c r="Y621" s="2486"/>
      <c r="Z621" s="2486"/>
      <c r="AA621" s="2486"/>
      <c r="AB621" s="2486"/>
      <c r="AC621" s="2486"/>
      <c r="AD621" s="2486"/>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431" t="s">
        <v>599</v>
      </c>
      <c r="Y623" s="2431"/>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404" t="s">
        <v>1516</v>
      </c>
      <c r="AG625" s="2404"/>
      <c r="AH625" s="2404"/>
      <c r="AI625" s="2404"/>
      <c r="AJ625" s="2404"/>
      <c r="AK625" s="2404"/>
      <c r="AL625" s="2404"/>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2487" t="s">
        <v>695</v>
      </c>
      <c r="I627" s="2487"/>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2438">
        <f>VLOOKUP($H$627,$AO$594:$AP$596,2,FALSE)</f>
        <v>3</v>
      </c>
      <c r="AK629" s="2440"/>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2458" t="s">
        <v>2410</v>
      </c>
      <c r="F633" s="2458"/>
      <c r="G633" s="2458"/>
      <c r="H633" s="2458"/>
      <c r="I633" s="2458"/>
      <c r="J633" s="2458"/>
      <c r="K633" s="2458"/>
      <c r="L633" s="2458"/>
      <c r="M633" s="2458"/>
      <c r="N633" s="2458"/>
      <c r="O633" s="2458"/>
      <c r="P633" s="2458"/>
      <c r="Q633" s="2458"/>
      <c r="R633" s="2458"/>
      <c r="S633" s="2458"/>
      <c r="T633" s="2458"/>
      <c r="U633" s="2458"/>
      <c r="V633" s="2458"/>
      <c r="W633" s="2458"/>
      <c r="X633" s="2458"/>
      <c r="Y633" s="2458"/>
      <c r="Z633" s="2458"/>
      <c r="AA633" s="2458"/>
      <c r="AB633" s="2458"/>
      <c r="AC633" s="2458"/>
      <c r="AD633" s="2458"/>
      <c r="AE633" s="570"/>
      <c r="AF633" s="2404" t="s">
        <v>1460</v>
      </c>
      <c r="AG633" s="2404"/>
      <c r="AH633" s="2404"/>
      <c r="AI633" s="2404"/>
      <c r="AJ633" s="2404"/>
      <c r="AK633" s="2404"/>
      <c r="AL633" s="2404"/>
      <c r="AN633" s="631"/>
    </row>
    <row r="634" spans="1:42" s="584" customFormat="1" ht="12.75" customHeight="1">
      <c r="B634" s="570"/>
      <c r="C634" s="570"/>
      <c r="D634" s="697"/>
      <c r="E634" s="2458"/>
      <c r="F634" s="2458"/>
      <c r="G634" s="2458"/>
      <c r="H634" s="2458"/>
      <c r="I634" s="2458"/>
      <c r="J634" s="2458"/>
      <c r="K634" s="2458"/>
      <c r="L634" s="2458"/>
      <c r="M634" s="2458"/>
      <c r="N634" s="2458"/>
      <c r="O634" s="2458"/>
      <c r="P634" s="2458"/>
      <c r="Q634" s="2458"/>
      <c r="R634" s="2458"/>
      <c r="S634" s="2458"/>
      <c r="T634" s="2458"/>
      <c r="U634" s="2458"/>
      <c r="V634" s="2458"/>
      <c r="W634" s="2458"/>
      <c r="X634" s="2458"/>
      <c r="Y634" s="2458"/>
      <c r="Z634" s="2458"/>
      <c r="AA634" s="2458"/>
      <c r="AB634" s="2458"/>
      <c r="AC634" s="2458"/>
      <c r="AD634" s="245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404" t="s">
        <v>1516</v>
      </c>
      <c r="AG636" s="2404"/>
      <c r="AH636" s="2404"/>
      <c r="AI636" s="2404"/>
      <c r="AJ636" s="2404"/>
      <c r="AK636" s="2404"/>
      <c r="AL636" s="2404"/>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2487" t="s">
        <v>695</v>
      </c>
      <c r="I639" s="2487"/>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2438">
        <f>VLOOKUP(H639,AT594:AU596,2,FALSE)</f>
        <v>3</v>
      </c>
      <c r="AK641" s="2440"/>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2458" t="s">
        <v>1526</v>
      </c>
      <c r="F646" s="2458"/>
      <c r="G646" s="2458"/>
      <c r="H646" s="2458"/>
      <c r="I646" s="2458"/>
      <c r="J646" s="2458"/>
      <c r="K646" s="2458"/>
      <c r="L646" s="2458"/>
      <c r="M646" s="2458"/>
      <c r="N646" s="2458"/>
      <c r="O646" s="2458"/>
      <c r="P646" s="2458"/>
      <c r="Q646" s="2458"/>
      <c r="R646" s="2458"/>
      <c r="S646" s="2458"/>
      <c r="T646" s="2458"/>
      <c r="U646" s="2458"/>
      <c r="V646" s="2458"/>
      <c r="W646" s="2458"/>
      <c r="X646" s="2458"/>
      <c r="Y646" s="2458"/>
      <c r="Z646" s="2458"/>
      <c r="AA646" s="2458"/>
      <c r="AB646" s="2458"/>
      <c r="AC646" s="2458"/>
      <c r="AD646" s="570"/>
      <c r="AE646" s="570"/>
      <c r="AF646" s="2404" t="s">
        <v>1486</v>
      </c>
      <c r="AG646" s="2404"/>
      <c r="AH646" s="2404"/>
      <c r="AI646" s="2404"/>
      <c r="AJ646" s="2404"/>
      <c r="AK646" s="2404"/>
      <c r="AL646" s="2404"/>
      <c r="AN646" s="631"/>
    </row>
    <row r="647" spans="1:42" s="584" customFormat="1" ht="12.75" customHeight="1">
      <c r="B647" s="570"/>
      <c r="C647" s="573"/>
      <c r="D647" s="570"/>
      <c r="E647" s="2458"/>
      <c r="F647" s="2458"/>
      <c r="G647" s="2458"/>
      <c r="H647" s="2458"/>
      <c r="I647" s="2458"/>
      <c r="J647" s="2458"/>
      <c r="K647" s="2458"/>
      <c r="L647" s="2458"/>
      <c r="M647" s="2458"/>
      <c r="N647" s="2458"/>
      <c r="O647" s="2458"/>
      <c r="P647" s="2458"/>
      <c r="Q647" s="2458"/>
      <c r="R647" s="2458"/>
      <c r="S647" s="2458"/>
      <c r="T647" s="2458"/>
      <c r="U647" s="2458"/>
      <c r="V647" s="2458"/>
      <c r="W647" s="2458"/>
      <c r="X647" s="2458"/>
      <c r="Y647" s="2458"/>
      <c r="Z647" s="2458"/>
      <c r="AA647" s="2458"/>
      <c r="AB647" s="2458"/>
      <c r="AC647" s="2458"/>
      <c r="AD647" s="570"/>
      <c r="AE647" s="570"/>
      <c r="AF647" s="570"/>
      <c r="AG647" s="570"/>
      <c r="AH647" s="570"/>
      <c r="AI647" s="570"/>
      <c r="AJ647" s="570"/>
      <c r="AK647" s="570"/>
      <c r="AL647" s="570"/>
      <c r="AN647" s="631"/>
    </row>
    <row r="648" spans="1:42" s="584" customFormat="1" ht="12.75" customHeight="1">
      <c r="B648" s="570"/>
      <c r="C648" s="573"/>
      <c r="D648" s="697"/>
      <c r="E648" s="2458"/>
      <c r="F648" s="2458"/>
      <c r="G648" s="2458"/>
      <c r="H648" s="2458"/>
      <c r="I648" s="2458"/>
      <c r="J648" s="2458"/>
      <c r="K648" s="2458"/>
      <c r="L648" s="2458"/>
      <c r="M648" s="2458"/>
      <c r="N648" s="2458"/>
      <c r="O648" s="2458"/>
      <c r="P648" s="2458"/>
      <c r="Q648" s="2458"/>
      <c r="R648" s="2458"/>
      <c r="S648" s="2458"/>
      <c r="T648" s="2458"/>
      <c r="U648" s="2458"/>
      <c r="V648" s="2458"/>
      <c r="W648" s="2458"/>
      <c r="X648" s="2458"/>
      <c r="Y648" s="2458"/>
      <c r="Z648" s="2458"/>
      <c r="AA648" s="2458"/>
      <c r="AB648" s="2458"/>
      <c r="AC648" s="245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2458" t="s">
        <v>1527</v>
      </c>
      <c r="F650" s="2458"/>
      <c r="G650" s="2458"/>
      <c r="H650" s="2458"/>
      <c r="I650" s="2458"/>
      <c r="J650" s="2458"/>
      <c r="K650" s="2458"/>
      <c r="L650" s="2458"/>
      <c r="M650" s="2458"/>
      <c r="N650" s="2458"/>
      <c r="O650" s="2458"/>
      <c r="P650" s="2458"/>
      <c r="Q650" s="2458"/>
      <c r="R650" s="2458"/>
      <c r="S650" s="2458"/>
      <c r="T650" s="2458"/>
      <c r="U650" s="2458"/>
      <c r="V650" s="2458"/>
      <c r="W650" s="2458"/>
      <c r="X650" s="2458"/>
      <c r="Y650" s="2458"/>
      <c r="Z650" s="2458"/>
      <c r="AA650" s="2458"/>
      <c r="AB650" s="2458"/>
      <c r="AC650" s="2458"/>
      <c r="AD650" s="570"/>
      <c r="AE650" s="570"/>
      <c r="AF650" s="2404" t="s">
        <v>1507</v>
      </c>
      <c r="AG650" s="2404"/>
      <c r="AH650" s="2404"/>
      <c r="AI650" s="2404"/>
      <c r="AJ650" s="2404"/>
      <c r="AK650" s="2404"/>
      <c r="AL650" s="2404"/>
      <c r="AN650" s="631"/>
    </row>
    <row r="651" spans="1:42" s="584" customFormat="1" ht="12.75" customHeight="1">
      <c r="B651" s="570"/>
      <c r="C651" s="573"/>
      <c r="D651" s="570"/>
      <c r="E651" s="2458"/>
      <c r="F651" s="2458"/>
      <c r="G651" s="2458"/>
      <c r="H651" s="2458"/>
      <c r="I651" s="2458"/>
      <c r="J651" s="2458"/>
      <c r="K651" s="2458"/>
      <c r="L651" s="2458"/>
      <c r="M651" s="2458"/>
      <c r="N651" s="2458"/>
      <c r="O651" s="2458"/>
      <c r="P651" s="2458"/>
      <c r="Q651" s="2458"/>
      <c r="R651" s="2458"/>
      <c r="S651" s="2458"/>
      <c r="T651" s="2458"/>
      <c r="U651" s="2458"/>
      <c r="V651" s="2458"/>
      <c r="W651" s="2458"/>
      <c r="X651" s="2458"/>
      <c r="Y651" s="2458"/>
      <c r="Z651" s="2458"/>
      <c r="AA651" s="2458"/>
      <c r="AB651" s="2458"/>
      <c r="AC651" s="2458"/>
      <c r="AD651" s="570"/>
      <c r="AE651" s="570"/>
      <c r="AF651" s="570"/>
      <c r="AG651" s="570"/>
      <c r="AH651" s="570"/>
      <c r="AI651" s="570"/>
      <c r="AJ651" s="570"/>
      <c r="AK651" s="570"/>
      <c r="AL651" s="570"/>
      <c r="AN651" s="631"/>
    </row>
    <row r="652" spans="1:42" s="584" customFormat="1" ht="15" customHeight="1">
      <c r="B652" s="570"/>
      <c r="C652" s="573"/>
      <c r="D652" s="697"/>
      <c r="E652" s="2458"/>
      <c r="F652" s="2458"/>
      <c r="G652" s="2458"/>
      <c r="H652" s="2458"/>
      <c r="I652" s="2458"/>
      <c r="J652" s="2458"/>
      <c r="K652" s="2458"/>
      <c r="L652" s="2458"/>
      <c r="M652" s="2458"/>
      <c r="N652" s="2458"/>
      <c r="O652" s="2458"/>
      <c r="P652" s="2458"/>
      <c r="Q652" s="2458"/>
      <c r="R652" s="2458"/>
      <c r="S652" s="2458"/>
      <c r="T652" s="2458"/>
      <c r="U652" s="2458"/>
      <c r="V652" s="2458"/>
      <c r="W652" s="2458"/>
      <c r="X652" s="2458"/>
      <c r="Y652" s="2458"/>
      <c r="Z652" s="2458"/>
      <c r="AA652" s="2458"/>
      <c r="AB652" s="2458"/>
      <c r="AC652" s="245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2458" t="s">
        <v>1528</v>
      </c>
      <c r="F654" s="2458"/>
      <c r="G654" s="2458"/>
      <c r="H654" s="2458"/>
      <c r="I654" s="2458"/>
      <c r="J654" s="2458"/>
      <c r="K654" s="2458"/>
      <c r="L654" s="2458"/>
      <c r="M654" s="2458"/>
      <c r="N654" s="2458"/>
      <c r="O654" s="2458"/>
      <c r="P654" s="2458"/>
      <c r="Q654" s="2458"/>
      <c r="R654" s="2458"/>
      <c r="S654" s="2458"/>
      <c r="T654" s="2458"/>
      <c r="U654" s="2458"/>
      <c r="V654" s="2458"/>
      <c r="W654" s="2458"/>
      <c r="X654" s="2458"/>
      <c r="Y654" s="2458"/>
      <c r="Z654" s="2458"/>
      <c r="AA654" s="2458"/>
      <c r="AB654" s="2458"/>
      <c r="AC654" s="2458"/>
      <c r="AD654" s="570"/>
      <c r="AE654" s="570"/>
      <c r="AF654" s="2404" t="s">
        <v>1460</v>
      </c>
      <c r="AG654" s="2404"/>
      <c r="AH654" s="2404"/>
      <c r="AI654" s="2404"/>
      <c r="AJ654" s="2404"/>
      <c r="AK654" s="2404"/>
      <c r="AL654" s="2404"/>
      <c r="AN654" s="631"/>
    </row>
    <row r="655" spans="1:42" s="584" customFormat="1" ht="12.75" customHeight="1">
      <c r="B655" s="570"/>
      <c r="C655" s="966"/>
      <c r="D655" s="570"/>
      <c r="E655" s="2458"/>
      <c r="F655" s="2458"/>
      <c r="G655" s="2458"/>
      <c r="H655" s="2458"/>
      <c r="I655" s="2458"/>
      <c r="J655" s="2458"/>
      <c r="K655" s="2458"/>
      <c r="L655" s="2458"/>
      <c r="M655" s="2458"/>
      <c r="N655" s="2458"/>
      <c r="O655" s="2458"/>
      <c r="P655" s="2458"/>
      <c r="Q655" s="2458"/>
      <c r="R655" s="2458"/>
      <c r="S655" s="2458"/>
      <c r="T655" s="2458"/>
      <c r="U655" s="2458"/>
      <c r="V655" s="2458"/>
      <c r="W655" s="2458"/>
      <c r="X655" s="2458"/>
      <c r="Y655" s="2458"/>
      <c r="Z655" s="2458"/>
      <c r="AA655" s="2458"/>
      <c r="AB655" s="2458"/>
      <c r="AC655" s="2458"/>
      <c r="AD655" s="570"/>
      <c r="AE655" s="2404"/>
      <c r="AF655" s="2404"/>
      <c r="AG655" s="2404"/>
      <c r="AH655" s="2404"/>
      <c r="AI655" s="2404"/>
      <c r="AJ655" s="2404"/>
      <c r="AK655" s="2404"/>
      <c r="AL655" s="628"/>
      <c r="AN655" s="631"/>
      <c r="AO655" s="584" t="s">
        <v>599</v>
      </c>
      <c r="AP655" s="707">
        <v>0</v>
      </c>
    </row>
    <row r="656" spans="1:42" s="584" customFormat="1" ht="12.75" customHeight="1">
      <c r="A656" s="713"/>
      <c r="B656" s="570"/>
      <c r="C656" s="570"/>
      <c r="D656" s="697"/>
      <c r="E656" s="2458"/>
      <c r="F656" s="2458"/>
      <c r="G656" s="2458"/>
      <c r="H656" s="2458"/>
      <c r="I656" s="2458"/>
      <c r="J656" s="2458"/>
      <c r="K656" s="2458"/>
      <c r="L656" s="2458"/>
      <c r="M656" s="2458"/>
      <c r="N656" s="2458"/>
      <c r="O656" s="2458"/>
      <c r="P656" s="2458"/>
      <c r="Q656" s="2458"/>
      <c r="R656" s="2458"/>
      <c r="S656" s="2458"/>
      <c r="T656" s="2458"/>
      <c r="U656" s="2458"/>
      <c r="V656" s="2458"/>
      <c r="W656" s="2458"/>
      <c r="X656" s="2458"/>
      <c r="Y656" s="2458"/>
      <c r="Z656" s="2458"/>
      <c r="AA656" s="2458"/>
      <c r="AB656" s="2458"/>
      <c r="AC656" s="2458"/>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1505</v>
      </c>
      <c r="E658" s="2458" t="s">
        <v>1529</v>
      </c>
      <c r="F658" s="2458"/>
      <c r="G658" s="2458"/>
      <c r="H658" s="2458"/>
      <c r="I658" s="2458"/>
      <c r="J658" s="2458"/>
      <c r="K658" s="2458"/>
      <c r="L658" s="2458"/>
      <c r="M658" s="2458"/>
      <c r="N658" s="2458"/>
      <c r="O658" s="2458"/>
      <c r="P658" s="2458"/>
      <c r="Q658" s="2458"/>
      <c r="R658" s="2458"/>
      <c r="S658" s="2458"/>
      <c r="T658" s="2458"/>
      <c r="U658" s="2458"/>
      <c r="V658" s="2458"/>
      <c r="W658" s="2458"/>
      <c r="X658" s="2458"/>
      <c r="Y658" s="2458"/>
      <c r="Z658" s="2458"/>
      <c r="AA658" s="2458"/>
      <c r="AB658" s="2458"/>
      <c r="AC658" s="2458"/>
      <c r="AD658" s="570"/>
      <c r="AE658" s="570"/>
      <c r="AF658" s="2404" t="s">
        <v>1507</v>
      </c>
      <c r="AG658" s="2404"/>
      <c r="AH658" s="2404"/>
      <c r="AI658" s="2404"/>
      <c r="AJ658" s="2404"/>
      <c r="AK658" s="2404"/>
      <c r="AL658" s="2404"/>
      <c r="AN658" s="631"/>
    </row>
    <row r="659" spans="1:42" s="584" customFormat="1" ht="12.75" customHeight="1">
      <c r="A659" s="704"/>
      <c r="B659" s="570"/>
      <c r="C659" s="982"/>
      <c r="D659" s="697"/>
      <c r="E659" s="2458"/>
      <c r="F659" s="2458"/>
      <c r="G659" s="2458"/>
      <c r="H659" s="2458"/>
      <c r="I659" s="2458"/>
      <c r="J659" s="2458"/>
      <c r="K659" s="2458"/>
      <c r="L659" s="2458"/>
      <c r="M659" s="2458"/>
      <c r="N659" s="2458"/>
      <c r="O659" s="2458"/>
      <c r="P659" s="2458"/>
      <c r="Q659" s="2458"/>
      <c r="R659" s="2458"/>
      <c r="S659" s="2458"/>
      <c r="T659" s="2458"/>
      <c r="U659" s="2458"/>
      <c r="V659" s="2458"/>
      <c r="W659" s="2458"/>
      <c r="X659" s="2458"/>
      <c r="Y659" s="2458"/>
      <c r="Z659" s="2458"/>
      <c r="AA659" s="2458"/>
      <c r="AB659" s="2458"/>
      <c r="AC659" s="2458"/>
      <c r="AD659" s="570"/>
      <c r="AE659" s="628"/>
      <c r="AF659" s="628"/>
      <c r="AG659" s="628"/>
      <c r="AH659" s="628"/>
      <c r="AI659" s="628"/>
      <c r="AJ659" s="628"/>
      <c r="AK659" s="628"/>
      <c r="AL659" s="628"/>
      <c r="AM659" s="630"/>
      <c r="AN659" s="631"/>
    </row>
    <row r="660" spans="1:42" s="584" customFormat="1" ht="12.75" customHeight="1">
      <c r="A660" s="704"/>
      <c r="B660" s="570"/>
      <c r="C660" s="982"/>
      <c r="D660" s="697"/>
      <c r="E660" s="2458"/>
      <c r="F660" s="2458"/>
      <c r="G660" s="2458"/>
      <c r="H660" s="2458"/>
      <c r="I660" s="2458"/>
      <c r="J660" s="2458"/>
      <c r="K660" s="2458"/>
      <c r="L660" s="2458"/>
      <c r="M660" s="2458"/>
      <c r="N660" s="2458"/>
      <c r="O660" s="2458"/>
      <c r="P660" s="2458"/>
      <c r="Q660" s="2458"/>
      <c r="R660" s="2458"/>
      <c r="S660" s="2458"/>
      <c r="T660" s="2458"/>
      <c r="U660" s="2458"/>
      <c r="V660" s="2458"/>
      <c r="W660" s="2458"/>
      <c r="X660" s="2458"/>
      <c r="Y660" s="2458"/>
      <c r="Z660" s="2458"/>
      <c r="AA660" s="2458"/>
      <c r="AB660" s="2458"/>
      <c r="AC660" s="245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2458" t="s">
        <v>1530</v>
      </c>
      <c r="F662" s="2458"/>
      <c r="G662" s="2458"/>
      <c r="H662" s="2458"/>
      <c r="I662" s="2458"/>
      <c r="J662" s="2458"/>
      <c r="K662" s="2458"/>
      <c r="L662" s="2458"/>
      <c r="M662" s="2458"/>
      <c r="N662" s="2458"/>
      <c r="O662" s="2458"/>
      <c r="P662" s="2458"/>
      <c r="Q662" s="2458"/>
      <c r="R662" s="2458"/>
      <c r="S662" s="2458"/>
      <c r="T662" s="2458"/>
      <c r="U662" s="2458"/>
      <c r="V662" s="2458"/>
      <c r="W662" s="2458"/>
      <c r="X662" s="2458"/>
      <c r="Y662" s="2458"/>
      <c r="Z662" s="2458"/>
      <c r="AA662" s="2458"/>
      <c r="AB662" s="2458"/>
      <c r="AC662" s="2458"/>
      <c r="AD662" s="570"/>
      <c r="AE662" s="570"/>
      <c r="AF662" s="2404" t="s">
        <v>1460</v>
      </c>
      <c r="AG662" s="2404"/>
      <c r="AH662" s="2404"/>
      <c r="AI662" s="2404"/>
      <c r="AJ662" s="2404"/>
      <c r="AK662" s="2404"/>
      <c r="AL662" s="2404"/>
      <c r="AM662" s="630"/>
      <c r="AN662" s="631"/>
    </row>
    <row r="663" spans="1:42" s="584" customFormat="1" ht="12.75" customHeight="1">
      <c r="B663" s="570"/>
      <c r="C663" s="966"/>
      <c r="D663" s="697"/>
      <c r="E663" s="2458"/>
      <c r="F663" s="2458"/>
      <c r="G663" s="2458"/>
      <c r="H663" s="2458"/>
      <c r="I663" s="2458"/>
      <c r="J663" s="2458"/>
      <c r="K663" s="2458"/>
      <c r="L663" s="2458"/>
      <c r="M663" s="2458"/>
      <c r="N663" s="2458"/>
      <c r="O663" s="2458"/>
      <c r="P663" s="2458"/>
      <c r="Q663" s="2458"/>
      <c r="R663" s="2458"/>
      <c r="S663" s="2458"/>
      <c r="T663" s="2458"/>
      <c r="U663" s="2458"/>
      <c r="V663" s="2458"/>
      <c r="W663" s="2458"/>
      <c r="X663" s="2458"/>
      <c r="Y663" s="2458"/>
      <c r="Z663" s="2458"/>
      <c r="AA663" s="2458"/>
      <c r="AB663" s="2458"/>
      <c r="AC663" s="2458"/>
      <c r="AD663" s="570"/>
      <c r="AE663" s="570"/>
      <c r="AF663" s="570"/>
      <c r="AG663" s="570"/>
      <c r="AH663" s="570"/>
      <c r="AI663" s="570"/>
      <c r="AJ663" s="570"/>
      <c r="AK663" s="570"/>
      <c r="AL663" s="570"/>
      <c r="AM663" s="630"/>
      <c r="AN663" s="631"/>
    </row>
    <row r="664" spans="1:42" s="584" customFormat="1" ht="12.75" customHeight="1">
      <c r="B664" s="570"/>
      <c r="C664" s="966"/>
      <c r="D664" s="697"/>
      <c r="E664" s="2458"/>
      <c r="F664" s="2458"/>
      <c r="G664" s="2458"/>
      <c r="H664" s="2458"/>
      <c r="I664" s="2458"/>
      <c r="J664" s="2458"/>
      <c r="K664" s="2458"/>
      <c r="L664" s="2458"/>
      <c r="M664" s="2458"/>
      <c r="N664" s="2458"/>
      <c r="O664" s="2458"/>
      <c r="P664" s="2458"/>
      <c r="Q664" s="2458"/>
      <c r="R664" s="2458"/>
      <c r="S664" s="2458"/>
      <c r="T664" s="2458"/>
      <c r="U664" s="2458"/>
      <c r="V664" s="2458"/>
      <c r="W664" s="2458"/>
      <c r="X664" s="2458"/>
      <c r="Y664" s="2458"/>
      <c r="Z664" s="2458"/>
      <c r="AA664" s="2458"/>
      <c r="AB664" s="2458"/>
      <c r="AC664" s="245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2458" t="s">
        <v>1531</v>
      </c>
      <c r="F666" s="2458"/>
      <c r="G666" s="2458"/>
      <c r="H666" s="2458"/>
      <c r="I666" s="2458"/>
      <c r="J666" s="2458"/>
      <c r="K666" s="2458"/>
      <c r="L666" s="2458"/>
      <c r="M666" s="2458"/>
      <c r="N666" s="2458"/>
      <c r="O666" s="2458"/>
      <c r="P666" s="2458"/>
      <c r="Q666" s="2458"/>
      <c r="R666" s="2458"/>
      <c r="S666" s="2458"/>
      <c r="T666" s="2458"/>
      <c r="U666" s="2458"/>
      <c r="V666" s="2458"/>
      <c r="W666" s="2458"/>
      <c r="X666" s="2458"/>
      <c r="Y666" s="2458"/>
      <c r="Z666" s="2458"/>
      <c r="AA666" s="2458"/>
      <c r="AB666" s="2458"/>
      <c r="AC666" s="2458"/>
      <c r="AD666" s="570"/>
      <c r="AE666" s="570"/>
      <c r="AF666" s="2404" t="s">
        <v>1516</v>
      </c>
      <c r="AG666" s="2404"/>
      <c r="AH666" s="2404"/>
      <c r="AI666" s="2404"/>
      <c r="AJ666" s="2404"/>
      <c r="AK666" s="2404"/>
      <c r="AL666" s="2404"/>
      <c r="AM666" s="630"/>
      <c r="AN666" s="631"/>
    </row>
    <row r="667" spans="1:42" s="584" customFormat="1" ht="12.75" customHeight="1">
      <c r="A667" s="713"/>
      <c r="B667" s="570"/>
      <c r="C667" s="966"/>
      <c r="D667" s="697"/>
      <c r="E667" s="2458"/>
      <c r="F667" s="2458"/>
      <c r="G667" s="2458"/>
      <c r="H667" s="2458"/>
      <c r="I667" s="2458"/>
      <c r="J667" s="2458"/>
      <c r="K667" s="2458"/>
      <c r="L667" s="2458"/>
      <c r="M667" s="2458"/>
      <c r="N667" s="2458"/>
      <c r="O667" s="2458"/>
      <c r="P667" s="2458"/>
      <c r="Q667" s="2458"/>
      <c r="R667" s="2458"/>
      <c r="S667" s="2458"/>
      <c r="T667" s="2458"/>
      <c r="U667" s="2458"/>
      <c r="V667" s="2458"/>
      <c r="W667" s="2458"/>
      <c r="X667" s="2458"/>
      <c r="Y667" s="2458"/>
      <c r="Z667" s="2458"/>
      <c r="AA667" s="2458"/>
      <c r="AB667" s="2458"/>
      <c r="AC667" s="2458"/>
      <c r="AD667" s="570"/>
      <c r="AE667" s="570"/>
      <c r="AF667" s="628"/>
      <c r="AG667" s="628"/>
      <c r="AH667" s="628"/>
      <c r="AI667" s="628"/>
      <c r="AJ667" s="628"/>
      <c r="AK667" s="628"/>
      <c r="AL667" s="628"/>
      <c r="AM667" s="630"/>
      <c r="AN667" s="631"/>
    </row>
    <row r="668" spans="1:42" s="584" customFormat="1" ht="12.75" customHeight="1">
      <c r="A668" s="713"/>
      <c r="B668" s="570"/>
      <c r="C668" s="966"/>
      <c r="D668" s="697"/>
      <c r="E668" s="2458"/>
      <c r="F668" s="2458"/>
      <c r="G668" s="2458"/>
      <c r="H668" s="2458"/>
      <c r="I668" s="2458"/>
      <c r="J668" s="2458"/>
      <c r="K668" s="2458"/>
      <c r="L668" s="2458"/>
      <c r="M668" s="2458"/>
      <c r="N668" s="2458"/>
      <c r="O668" s="2458"/>
      <c r="P668" s="2458"/>
      <c r="Q668" s="2458"/>
      <c r="R668" s="2458"/>
      <c r="S668" s="2458"/>
      <c r="T668" s="2458"/>
      <c r="U668" s="2458"/>
      <c r="V668" s="2458"/>
      <c r="W668" s="2458"/>
      <c r="X668" s="2458"/>
      <c r="Y668" s="2458"/>
      <c r="Z668" s="2458"/>
      <c r="AA668" s="2458"/>
      <c r="AB668" s="2458"/>
      <c r="AC668" s="245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1519</v>
      </c>
      <c r="E670" s="2458" t="s">
        <v>1532</v>
      </c>
      <c r="F670" s="2458"/>
      <c r="G670" s="2458"/>
      <c r="H670" s="2458"/>
      <c r="I670" s="2458"/>
      <c r="J670" s="2458"/>
      <c r="K670" s="2458"/>
      <c r="L670" s="2458"/>
      <c r="M670" s="2458"/>
      <c r="N670" s="2458"/>
      <c r="O670" s="2458"/>
      <c r="P670" s="2458"/>
      <c r="Q670" s="2458"/>
      <c r="R670" s="2458"/>
      <c r="S670" s="2458"/>
      <c r="T670" s="2458"/>
      <c r="U670" s="2458"/>
      <c r="V670" s="2458"/>
      <c r="W670" s="2458"/>
      <c r="X670" s="2458"/>
      <c r="Y670" s="2458"/>
      <c r="Z670" s="2458"/>
      <c r="AA670" s="2458"/>
      <c r="AB670" s="2458"/>
      <c r="AC670" s="2458"/>
      <c r="AD670" s="570"/>
      <c r="AE670" s="570"/>
      <c r="AF670" s="2404" t="s">
        <v>1533</v>
      </c>
      <c r="AG670" s="2404"/>
      <c r="AH670" s="2404"/>
      <c r="AI670" s="2404"/>
      <c r="AJ670" s="2404"/>
      <c r="AK670" s="2404"/>
      <c r="AL670" s="2404"/>
      <c r="AM670" s="630"/>
      <c r="AN670" s="631"/>
      <c r="AO670" s="645" t="s">
        <v>695</v>
      </c>
      <c r="AP670" s="584">
        <v>3</v>
      </c>
    </row>
    <row r="671" spans="1:42" s="584" customFormat="1" ht="12.75" customHeight="1">
      <c r="A671" s="713"/>
      <c r="B671" s="570"/>
      <c r="C671" s="966"/>
      <c r="D671" s="697"/>
      <c r="E671" s="2458"/>
      <c r="F671" s="2458"/>
      <c r="G671" s="2458"/>
      <c r="H671" s="2458"/>
      <c r="I671" s="2458"/>
      <c r="J671" s="2458"/>
      <c r="K671" s="2458"/>
      <c r="L671" s="2458"/>
      <c r="M671" s="2458"/>
      <c r="N671" s="2458"/>
      <c r="O671" s="2458"/>
      <c r="P671" s="2458"/>
      <c r="Q671" s="2458"/>
      <c r="R671" s="2458"/>
      <c r="S671" s="2458"/>
      <c r="T671" s="2458"/>
      <c r="U671" s="2458"/>
      <c r="V671" s="2458"/>
      <c r="W671" s="2458"/>
      <c r="X671" s="2458"/>
      <c r="Y671" s="2458"/>
      <c r="Z671" s="2458"/>
      <c r="AA671" s="2458"/>
      <c r="AB671" s="2458"/>
      <c r="AC671" s="2458"/>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2458"/>
      <c r="F672" s="2458"/>
      <c r="G672" s="2458"/>
      <c r="H672" s="2458"/>
      <c r="I672" s="2458"/>
      <c r="J672" s="2458"/>
      <c r="K672" s="2458"/>
      <c r="L672" s="2458"/>
      <c r="M672" s="2458"/>
      <c r="N672" s="2458"/>
      <c r="O672" s="2458"/>
      <c r="P672" s="2458"/>
      <c r="Q672" s="2458"/>
      <c r="R672" s="2458"/>
      <c r="S672" s="2458"/>
      <c r="T672" s="2458"/>
      <c r="U672" s="2458"/>
      <c r="V672" s="2458"/>
      <c r="W672" s="2458"/>
      <c r="X672" s="2458"/>
      <c r="Y672" s="2458"/>
      <c r="Z672" s="2458"/>
      <c r="AA672" s="2458"/>
      <c r="AB672" s="2458"/>
      <c r="AC672" s="245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2487" t="s">
        <v>695</v>
      </c>
      <c r="I674" s="2487"/>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2438">
        <f>VLOOKUP($H$674,$AO$622:$AP$629,2,FALSE)</f>
        <v>5</v>
      </c>
      <c r="AK676" s="2440"/>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2449</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2539</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2540</v>
      </c>
      <c r="AX679" s="1196">
        <f>Application!G753</f>
        <v>99</v>
      </c>
    </row>
    <row r="680" spans="1:51" s="584" customFormat="1" ht="12.75" customHeight="1">
      <c r="A680" s="713"/>
      <c r="B680" s="570"/>
      <c r="C680" s="983"/>
      <c r="D680" s="697" t="s">
        <v>695</v>
      </c>
      <c r="E680" s="2494" t="s">
        <v>2546</v>
      </c>
      <c r="F680" s="2494"/>
      <c r="G680" s="2494"/>
      <c r="H680" s="2494"/>
      <c r="I680" s="2494"/>
      <c r="J680" s="2494"/>
      <c r="K680" s="2494"/>
      <c r="L680" s="2494"/>
      <c r="M680" s="2494"/>
      <c r="N680" s="2494"/>
      <c r="O680" s="2494"/>
      <c r="P680" s="2494"/>
      <c r="Q680" s="2494"/>
      <c r="R680" s="2494"/>
      <c r="S680" s="2494"/>
      <c r="T680" s="2494"/>
      <c r="U680" s="2494"/>
      <c r="V680" s="2494"/>
      <c r="W680" s="2494"/>
      <c r="X680" s="2494"/>
      <c r="Y680" s="2494"/>
      <c r="Z680" s="2494"/>
      <c r="AA680" s="2494"/>
      <c r="AB680" s="2494"/>
      <c r="AC680" s="570"/>
      <c r="AD680" s="570"/>
      <c r="AE680" s="570"/>
      <c r="AF680" s="2404" t="s">
        <v>1460</v>
      </c>
      <c r="AG680" s="2404"/>
      <c r="AH680" s="2404"/>
      <c r="AI680" s="2404"/>
      <c r="AJ680" s="2404"/>
      <c r="AK680" s="2404"/>
      <c r="AL680" s="2404"/>
      <c r="AN680" s="631"/>
      <c r="AW680" s="22" t="s">
        <v>2541</v>
      </c>
      <c r="AX680" s="584">
        <f>Application!CC632</f>
        <v>38</v>
      </c>
    </row>
    <row r="681" spans="1:51" s="584" customFormat="1" ht="12.75" customHeight="1">
      <c r="A681" s="713"/>
      <c r="B681" s="570"/>
      <c r="C681" s="983"/>
      <c r="D681" s="697"/>
      <c r="E681" s="2494"/>
      <c r="F681" s="2494"/>
      <c r="G681" s="2494"/>
      <c r="H681" s="2494"/>
      <c r="I681" s="2494"/>
      <c r="J681" s="2494"/>
      <c r="K681" s="2494"/>
      <c r="L681" s="2494"/>
      <c r="M681" s="2494"/>
      <c r="N681" s="2494"/>
      <c r="O681" s="2494"/>
      <c r="P681" s="2494"/>
      <c r="Q681" s="2494"/>
      <c r="R681" s="2494"/>
      <c r="S681" s="2494"/>
      <c r="T681" s="2494"/>
      <c r="U681" s="2494"/>
      <c r="V681" s="2494"/>
      <c r="W681" s="2494"/>
      <c r="X681" s="2494"/>
      <c r="Y681" s="2494"/>
      <c r="Z681" s="2494"/>
      <c r="AA681" s="2494"/>
      <c r="AB681" s="2494"/>
      <c r="AC681" s="570"/>
      <c r="AD681" s="570"/>
      <c r="AE681" s="570"/>
      <c r="AF681" s="570"/>
      <c r="AG681" s="570"/>
      <c r="AH681" s="570"/>
      <c r="AI681" s="570"/>
      <c r="AJ681" s="570"/>
      <c r="AK681" s="570"/>
      <c r="AL681" s="570"/>
      <c r="AN681" s="631"/>
      <c r="AW681" s="22" t="s">
        <v>2542</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2543</v>
      </c>
      <c r="AX682" s="584">
        <f>Application!CM632</f>
        <v>0</v>
      </c>
    </row>
    <row r="683" spans="1:51" s="584" customFormat="1" ht="12.75" customHeight="1">
      <c r="B683" s="570"/>
      <c r="C683" s="966"/>
      <c r="D683" s="697" t="s">
        <v>517</v>
      </c>
      <c r="E683" s="2458" t="s">
        <v>2447</v>
      </c>
      <c r="F683" s="2458"/>
      <c r="G683" s="2458"/>
      <c r="H683" s="2458"/>
      <c r="I683" s="2458"/>
      <c r="J683" s="2458"/>
      <c r="K683" s="2458"/>
      <c r="L683" s="2458"/>
      <c r="M683" s="2458"/>
      <c r="N683" s="2458"/>
      <c r="O683" s="2458"/>
      <c r="P683" s="2458"/>
      <c r="Q683" s="2458"/>
      <c r="R683" s="2458"/>
      <c r="S683" s="2458"/>
      <c r="T683" s="2458"/>
      <c r="U683" s="2458"/>
      <c r="V683" s="2458"/>
      <c r="W683" s="2458"/>
      <c r="X683" s="2458"/>
      <c r="Y683" s="2458"/>
      <c r="Z683" s="2458"/>
      <c r="AA683" s="2458"/>
      <c r="AB683" s="2458"/>
      <c r="AC683" s="570"/>
      <c r="AD683" s="570"/>
      <c r="AE683" s="570"/>
      <c r="AF683" s="2404" t="s">
        <v>1460</v>
      </c>
      <c r="AG683" s="2404"/>
      <c r="AH683" s="2404"/>
      <c r="AI683" s="2404"/>
      <c r="AJ683" s="2404"/>
      <c r="AK683" s="2404"/>
      <c r="AL683" s="2404"/>
      <c r="AN683" s="631"/>
      <c r="AW683" s="22" t="s">
        <v>2544</v>
      </c>
      <c r="AX683" s="584">
        <f>AX680+AX681+AX682</f>
        <v>38</v>
      </c>
    </row>
    <row r="684" spans="1:51" s="584" customFormat="1" ht="12.75" customHeight="1">
      <c r="B684" s="570"/>
      <c r="C684" s="975"/>
      <c r="D684" s="697"/>
      <c r="E684" s="2458"/>
      <c r="F684" s="2458"/>
      <c r="G684" s="2458"/>
      <c r="H684" s="2458"/>
      <c r="I684" s="2458"/>
      <c r="J684" s="2458"/>
      <c r="K684" s="2458"/>
      <c r="L684" s="2458"/>
      <c r="M684" s="2458"/>
      <c r="N684" s="2458"/>
      <c r="O684" s="2458"/>
      <c r="P684" s="2458"/>
      <c r="Q684" s="2458"/>
      <c r="R684" s="2458"/>
      <c r="S684" s="2458"/>
      <c r="T684" s="2458"/>
      <c r="U684" s="2458"/>
      <c r="V684" s="2458"/>
      <c r="W684" s="2458"/>
      <c r="X684" s="2458"/>
      <c r="Y684" s="2458"/>
      <c r="Z684" s="2458"/>
      <c r="AA684" s="2458"/>
      <c r="AB684" s="2458"/>
      <c r="AC684" s="570"/>
      <c r="AD684" s="570"/>
      <c r="AE684" s="650"/>
      <c r="AF684" s="570"/>
      <c r="AG684" s="570"/>
      <c r="AH684" s="570"/>
      <c r="AI684" s="570"/>
      <c r="AJ684" s="570"/>
      <c r="AK684" s="570"/>
      <c r="AL684" s="570"/>
      <c r="AN684" s="631"/>
      <c r="AO684" s="2493" t="b">
        <f>IF(Application!D211="Special Needs",IF(AY684&gt;=0.25,TRUE,FALSE),IF(AX684&gt;=0.25,TRUE,FALSE))</f>
        <v>1</v>
      </c>
      <c r="AP684" s="2493"/>
      <c r="AW684" s="22" t="s">
        <v>2545</v>
      </c>
      <c r="AX684" s="584">
        <f>IFERROR(AX683/AX679,0)</f>
        <v>0.38383838383838381</v>
      </c>
      <c r="AY684" s="584">
        <f>IFERROR(AX683/(AX679-AX678),0)</f>
        <v>0.38383838383838381</v>
      </c>
    </row>
    <row r="685" spans="1:51" s="584" customFormat="1" ht="12.75" customHeight="1">
      <c r="B685" s="570"/>
      <c r="C685" s="975"/>
      <c r="E685" s="2458"/>
      <c r="F685" s="2458"/>
      <c r="G685" s="2458"/>
      <c r="H685" s="2458"/>
      <c r="I685" s="2458"/>
      <c r="J685" s="2458"/>
      <c r="K685" s="2458"/>
      <c r="L685" s="2458"/>
      <c r="M685" s="2458"/>
      <c r="N685" s="2458"/>
      <c r="O685" s="2458"/>
      <c r="P685" s="2458"/>
      <c r="Q685" s="2458"/>
      <c r="R685" s="2458"/>
      <c r="S685" s="2458"/>
      <c r="T685" s="2458"/>
      <c r="U685" s="2458"/>
      <c r="V685" s="2458"/>
      <c r="W685" s="2458"/>
      <c r="X685" s="2458"/>
      <c r="Y685" s="2458"/>
      <c r="Z685" s="2458"/>
      <c r="AA685" s="2458"/>
      <c r="AB685" s="2458"/>
      <c r="AC685" s="570"/>
      <c r="AD685" s="570"/>
      <c r="AE685" s="650"/>
      <c r="AF685" s="650"/>
      <c r="AG685" s="650"/>
      <c r="AH685" s="650"/>
      <c r="AI685" s="650"/>
      <c r="AJ685" s="650"/>
      <c r="AK685" s="650"/>
      <c r="AL685" s="650"/>
      <c r="AN685" s="631"/>
      <c r="AW685" s="14"/>
    </row>
    <row r="686" spans="1:51" s="584" customFormat="1" ht="28.5" customHeight="1">
      <c r="B686" s="570"/>
      <c r="C686" s="975"/>
      <c r="D686" s="570"/>
      <c r="E686" s="2458"/>
      <c r="F686" s="2458"/>
      <c r="G686" s="2458"/>
      <c r="H686" s="2458"/>
      <c r="I686" s="2458"/>
      <c r="J686" s="2458"/>
      <c r="K686" s="2458"/>
      <c r="L686" s="2458"/>
      <c r="M686" s="2458"/>
      <c r="N686" s="2458"/>
      <c r="O686" s="2458"/>
      <c r="P686" s="2458"/>
      <c r="Q686" s="2458"/>
      <c r="R686" s="2458"/>
      <c r="S686" s="2458"/>
      <c r="T686" s="2458"/>
      <c r="U686" s="2458"/>
      <c r="V686" s="2458"/>
      <c r="W686" s="2458"/>
      <c r="X686" s="2458"/>
      <c r="Y686" s="2458"/>
      <c r="Z686" s="2458"/>
      <c r="AA686" s="2458"/>
      <c r="AB686" s="2458"/>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2458" t="s">
        <v>2448</v>
      </c>
      <c r="F688" s="2458"/>
      <c r="G688" s="2458"/>
      <c r="H688" s="2458"/>
      <c r="I688" s="2458"/>
      <c r="J688" s="2458"/>
      <c r="K688" s="2458"/>
      <c r="L688" s="2458"/>
      <c r="M688" s="2458"/>
      <c r="N688" s="2458"/>
      <c r="O688" s="2458"/>
      <c r="P688" s="2458"/>
      <c r="Q688" s="2458"/>
      <c r="R688" s="2458"/>
      <c r="S688" s="2458"/>
      <c r="T688" s="2458"/>
      <c r="U688" s="2458"/>
      <c r="V688" s="2458"/>
      <c r="W688" s="2458"/>
      <c r="X688" s="2458"/>
      <c r="Y688" s="2458"/>
      <c r="Z688" s="2458"/>
      <c r="AA688" s="2458"/>
      <c r="AB688" s="2458"/>
      <c r="AC688" s="570"/>
      <c r="AD688" s="570"/>
      <c r="AE688" s="570"/>
      <c r="AF688" s="2404" t="s">
        <v>1516</v>
      </c>
      <c r="AG688" s="2404"/>
      <c r="AH688" s="2404"/>
      <c r="AI688" s="2404"/>
      <c r="AJ688" s="2404"/>
      <c r="AK688" s="2404"/>
      <c r="AL688" s="2404"/>
      <c r="AN688" s="631"/>
      <c r="AO688" s="645" t="s">
        <v>517</v>
      </c>
      <c r="AP688" s="584">
        <v>1</v>
      </c>
    </row>
    <row r="689" spans="1:42" s="584" customFormat="1" ht="12" customHeight="1">
      <c r="B689" s="570"/>
      <c r="C689" s="966"/>
      <c r="E689" s="2458"/>
      <c r="F689" s="2458"/>
      <c r="G689" s="2458"/>
      <c r="H689" s="2458"/>
      <c r="I689" s="2458"/>
      <c r="J689" s="2458"/>
      <c r="K689" s="2458"/>
      <c r="L689" s="2458"/>
      <c r="M689" s="2458"/>
      <c r="N689" s="2458"/>
      <c r="O689" s="2458"/>
      <c r="P689" s="2458"/>
      <c r="Q689" s="2458"/>
      <c r="R689" s="2458"/>
      <c r="S689" s="2458"/>
      <c r="T689" s="2458"/>
      <c r="U689" s="2458"/>
      <c r="V689" s="2458"/>
      <c r="W689" s="2458"/>
      <c r="X689" s="2458"/>
      <c r="Y689" s="2458"/>
      <c r="Z689" s="2458"/>
      <c r="AA689" s="2458"/>
      <c r="AB689" s="2458"/>
      <c r="AC689" s="570"/>
      <c r="AD689" s="570"/>
      <c r="AE689" s="650"/>
      <c r="AF689" s="570"/>
      <c r="AG689" s="570"/>
      <c r="AH689" s="570"/>
      <c r="AI689" s="570"/>
      <c r="AJ689" s="570"/>
      <c r="AK689" s="570"/>
      <c r="AL689" s="570"/>
      <c r="AN689" s="631"/>
    </row>
    <row r="690" spans="1:42" s="584" customFormat="1" ht="12" customHeight="1">
      <c r="B690" s="570"/>
      <c r="C690" s="966"/>
      <c r="D690" s="570"/>
      <c r="E690" s="2458"/>
      <c r="F690" s="2458"/>
      <c r="G690" s="2458"/>
      <c r="H690" s="2458"/>
      <c r="I690" s="2458"/>
      <c r="J690" s="2458"/>
      <c r="K690" s="2458"/>
      <c r="L690" s="2458"/>
      <c r="M690" s="2458"/>
      <c r="N690" s="2458"/>
      <c r="O690" s="2458"/>
      <c r="P690" s="2458"/>
      <c r="Q690" s="2458"/>
      <c r="R690" s="2458"/>
      <c r="S690" s="2458"/>
      <c r="T690" s="2458"/>
      <c r="U690" s="2458"/>
      <c r="V690" s="2458"/>
      <c r="W690" s="2458"/>
      <c r="X690" s="2458"/>
      <c r="Y690" s="2458"/>
      <c r="Z690" s="2458"/>
      <c r="AA690" s="2458"/>
      <c r="AB690" s="2458"/>
      <c r="AC690" s="570"/>
      <c r="AD690" s="570"/>
      <c r="AE690" s="650"/>
      <c r="AF690" s="570"/>
      <c r="AG690" s="570"/>
      <c r="AH690" s="570"/>
      <c r="AI690" s="570"/>
      <c r="AJ690" s="570"/>
      <c r="AK690" s="570"/>
      <c r="AL690" s="570"/>
      <c r="AN690" s="631"/>
    </row>
    <row r="691" spans="1:42" s="584" customFormat="1" ht="12" customHeight="1">
      <c r="B691" s="570"/>
      <c r="C691" s="966"/>
      <c r="D691" s="570"/>
      <c r="E691" s="2458"/>
      <c r="F691" s="2458"/>
      <c r="G691" s="2458"/>
      <c r="H691" s="2458"/>
      <c r="I691" s="2458"/>
      <c r="J691" s="2458"/>
      <c r="K691" s="2458"/>
      <c r="L691" s="2458"/>
      <c r="M691" s="2458"/>
      <c r="N691" s="2458"/>
      <c r="O691" s="2458"/>
      <c r="P691" s="2458"/>
      <c r="Q691" s="2458"/>
      <c r="R691" s="2458"/>
      <c r="S691" s="2458"/>
      <c r="T691" s="2458"/>
      <c r="U691" s="2458"/>
      <c r="V691" s="2458"/>
      <c r="W691" s="2458"/>
      <c r="X691" s="2458"/>
      <c r="Y691" s="2458"/>
      <c r="Z691" s="2458"/>
      <c r="AA691" s="2458"/>
      <c r="AB691" s="2458"/>
      <c r="AC691" s="570"/>
      <c r="AD691" s="570"/>
      <c r="AE691" s="650"/>
      <c r="AF691" s="570"/>
      <c r="AG691" s="570"/>
      <c r="AH691" s="570"/>
      <c r="AI691" s="570"/>
      <c r="AJ691" s="570"/>
      <c r="AK691" s="570"/>
      <c r="AL691" s="570"/>
      <c r="AN691" s="631"/>
    </row>
    <row r="692" spans="1:42" s="604" customFormat="1" ht="13.05" customHeight="1">
      <c r="A692" s="584"/>
      <c r="B692" s="570"/>
      <c r="C692" s="966"/>
      <c r="D692" s="570"/>
      <c r="E692" s="2458"/>
      <c r="F692" s="2458"/>
      <c r="G692" s="2458"/>
      <c r="H692" s="2458"/>
      <c r="I692" s="2458"/>
      <c r="J692" s="2458"/>
      <c r="K692" s="2458"/>
      <c r="L692" s="2458"/>
      <c r="M692" s="2458"/>
      <c r="N692" s="2458"/>
      <c r="O692" s="2458"/>
      <c r="P692" s="2458"/>
      <c r="Q692" s="2458"/>
      <c r="R692" s="2458"/>
      <c r="S692" s="2458"/>
      <c r="T692" s="2458"/>
      <c r="U692" s="2458"/>
      <c r="V692" s="2458"/>
      <c r="W692" s="2458"/>
      <c r="X692" s="2458"/>
      <c r="Y692" s="2458"/>
      <c r="Z692" s="2458"/>
      <c r="AA692" s="2458"/>
      <c r="AB692" s="2458"/>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2458" t="s">
        <v>1880</v>
      </c>
      <c r="F694" s="2458"/>
      <c r="G694" s="2458"/>
      <c r="H694" s="2458"/>
      <c r="I694" s="2458"/>
      <c r="J694" s="2458"/>
      <c r="K694" s="2458"/>
      <c r="L694" s="2458"/>
      <c r="M694" s="2458"/>
      <c r="N694" s="2458"/>
      <c r="O694" s="2458"/>
      <c r="P694" s="2458"/>
      <c r="Q694" s="2458"/>
      <c r="R694" s="2458"/>
      <c r="S694" s="2458"/>
      <c r="T694" s="2458"/>
      <c r="U694" s="2458"/>
      <c r="V694" s="2458"/>
      <c r="W694" s="2458"/>
      <c r="X694" s="2458"/>
      <c r="Y694" s="2458"/>
      <c r="Z694" s="2458"/>
      <c r="AA694" s="2458"/>
      <c r="AB694" s="2458"/>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2458"/>
      <c r="F695" s="2458"/>
      <c r="G695" s="2458"/>
      <c r="H695" s="2458"/>
      <c r="I695" s="2458"/>
      <c r="J695" s="2458"/>
      <c r="K695" s="2458"/>
      <c r="L695" s="2458"/>
      <c r="M695" s="2458"/>
      <c r="N695" s="2458"/>
      <c r="O695" s="2458"/>
      <c r="P695" s="2458"/>
      <c r="Q695" s="2458"/>
      <c r="R695" s="2458"/>
      <c r="S695" s="2458"/>
      <c r="T695" s="2458"/>
      <c r="U695" s="2458"/>
      <c r="V695" s="2458"/>
      <c r="W695" s="2458"/>
      <c r="X695" s="2458"/>
      <c r="Y695" s="2458"/>
      <c r="Z695" s="2458"/>
      <c r="AA695" s="2458"/>
      <c r="AB695" s="2458"/>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2458"/>
      <c r="F696" s="2458"/>
      <c r="G696" s="2458"/>
      <c r="H696" s="2458"/>
      <c r="I696" s="2458"/>
      <c r="J696" s="2458"/>
      <c r="K696" s="2458"/>
      <c r="L696" s="2458"/>
      <c r="M696" s="2458"/>
      <c r="N696" s="2458"/>
      <c r="O696" s="2458"/>
      <c r="P696" s="2458"/>
      <c r="Q696" s="2458"/>
      <c r="R696" s="2458"/>
      <c r="S696" s="2458"/>
      <c r="T696" s="2458"/>
      <c r="U696" s="2458"/>
      <c r="V696" s="2458"/>
      <c r="W696" s="2458"/>
      <c r="X696" s="2458"/>
      <c r="Y696" s="2458"/>
      <c r="Z696" s="2458"/>
      <c r="AA696" s="2458"/>
      <c r="AB696" s="245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2487" t="s">
        <v>517</v>
      </c>
      <c r="I698" s="2487"/>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2450</v>
      </c>
      <c r="AJ700" s="2438">
        <f>VLOOKUP($H$698,$AO$692:$AP$695,2,FALSE)</f>
        <v>3</v>
      </c>
      <c r="AK700" s="2440"/>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695</v>
      </c>
      <c r="E704" s="2495" t="s">
        <v>1882</v>
      </c>
      <c r="F704" s="2495"/>
      <c r="G704" s="2495"/>
      <c r="H704" s="2495"/>
      <c r="I704" s="2495"/>
      <c r="J704" s="2495"/>
      <c r="K704" s="2495"/>
      <c r="L704" s="2495"/>
      <c r="M704" s="2495"/>
      <c r="N704" s="2495"/>
      <c r="O704" s="2495"/>
      <c r="P704" s="2495"/>
      <c r="Q704" s="2495"/>
      <c r="R704" s="2495"/>
      <c r="S704" s="2495"/>
      <c r="T704" s="2495"/>
      <c r="U704" s="2495"/>
      <c r="V704" s="2495"/>
      <c r="W704" s="2495"/>
      <c r="X704" s="2495"/>
      <c r="Y704" s="2495"/>
      <c r="Z704" s="2495"/>
      <c r="AA704" s="2495"/>
      <c r="AB704" s="2495"/>
      <c r="AC704" s="570"/>
      <c r="AD704" s="570"/>
      <c r="AE704" s="570"/>
      <c r="AF704" s="2404" t="s">
        <v>1460</v>
      </c>
      <c r="AG704" s="2404"/>
      <c r="AH704" s="2404"/>
      <c r="AI704" s="2404"/>
      <c r="AJ704" s="2404"/>
      <c r="AK704" s="2404"/>
      <c r="AL704" s="2404"/>
      <c r="AM704" s="584"/>
      <c r="AN704" s="718"/>
      <c r="AP704" s="604" t="s">
        <v>1540</v>
      </c>
    </row>
    <row r="705" spans="1:52" s="604" customFormat="1" ht="11.7" customHeight="1">
      <c r="A705" s="584"/>
      <c r="B705" s="570"/>
      <c r="C705" s="968"/>
      <c r="D705" s="697"/>
      <c r="E705" s="2495"/>
      <c r="F705" s="2495"/>
      <c r="G705" s="2495"/>
      <c r="H705" s="2495"/>
      <c r="I705" s="2495"/>
      <c r="J705" s="2495"/>
      <c r="K705" s="2495"/>
      <c r="L705" s="2495"/>
      <c r="M705" s="2495"/>
      <c r="N705" s="2495"/>
      <c r="O705" s="2495"/>
      <c r="P705" s="2495"/>
      <c r="Q705" s="2495"/>
      <c r="R705" s="2495"/>
      <c r="S705" s="2495"/>
      <c r="T705" s="2495"/>
      <c r="U705" s="2495"/>
      <c r="V705" s="2495"/>
      <c r="W705" s="2495"/>
      <c r="X705" s="2495"/>
      <c r="Y705" s="2495"/>
      <c r="Z705" s="2495"/>
      <c r="AA705" s="2495"/>
      <c r="AB705" s="2495"/>
      <c r="AC705" s="570"/>
      <c r="AD705" s="570"/>
      <c r="AE705" s="570"/>
      <c r="AF705" s="570"/>
      <c r="AG705" s="570"/>
      <c r="AH705" s="570"/>
      <c r="AI705" s="570"/>
      <c r="AJ705" s="570"/>
      <c r="AK705" s="570"/>
      <c r="AL705" s="570"/>
      <c r="AM705" s="584"/>
      <c r="AN705" s="718"/>
      <c r="AP705" s="604" t="s">
        <v>1541</v>
      </c>
    </row>
    <row r="706" spans="1:52" s="604" customFormat="1" ht="13.95" customHeight="1">
      <c r="A706" s="584"/>
      <c r="B706" s="644"/>
      <c r="C706" s="966"/>
      <c r="D706" s="697"/>
      <c r="E706" s="2495"/>
      <c r="F706" s="2495"/>
      <c r="G706" s="2495"/>
      <c r="H706" s="2495"/>
      <c r="I706" s="2495"/>
      <c r="J706" s="2495"/>
      <c r="K706" s="2495"/>
      <c r="L706" s="2495"/>
      <c r="M706" s="2495"/>
      <c r="N706" s="2495"/>
      <c r="O706" s="2495"/>
      <c r="P706" s="2495"/>
      <c r="Q706" s="2495"/>
      <c r="R706" s="2495"/>
      <c r="S706" s="2495"/>
      <c r="T706" s="2495"/>
      <c r="U706" s="2495"/>
      <c r="V706" s="2495"/>
      <c r="W706" s="2495"/>
      <c r="X706" s="2495"/>
      <c r="Y706" s="2495"/>
      <c r="Z706" s="2495"/>
      <c r="AA706" s="2495"/>
      <c r="AB706" s="2495"/>
      <c r="AC706" s="570"/>
      <c r="AD706" s="570"/>
      <c r="AE706" s="650"/>
      <c r="AF706" s="570"/>
      <c r="AG706" s="570"/>
      <c r="AH706" s="570"/>
      <c r="AI706" s="570"/>
      <c r="AJ706" s="570"/>
      <c r="AK706" s="570"/>
      <c r="AL706" s="570"/>
      <c r="AM706" s="584"/>
      <c r="AN706" s="718"/>
      <c r="AP706" s="604" t="s">
        <v>1542</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5" customHeight="1">
      <c r="A708" s="584"/>
      <c r="B708" s="570"/>
      <c r="C708" s="966"/>
      <c r="D708" s="697" t="s">
        <v>517</v>
      </c>
      <c r="E708" s="2496" t="s">
        <v>1543</v>
      </c>
      <c r="F708" s="2496"/>
      <c r="G708" s="2496"/>
      <c r="H708" s="2496"/>
      <c r="I708" s="2496"/>
      <c r="J708" s="2496"/>
      <c r="K708" s="2496"/>
      <c r="L708" s="2496"/>
      <c r="M708" s="2496"/>
      <c r="N708" s="2496"/>
      <c r="O708" s="2496"/>
      <c r="P708" s="2496"/>
      <c r="Q708" s="2496"/>
      <c r="R708" s="2496"/>
      <c r="S708" s="2496"/>
      <c r="T708" s="2496"/>
      <c r="U708" s="2496"/>
      <c r="V708" s="2496"/>
      <c r="W708" s="2496"/>
      <c r="X708" s="2496"/>
      <c r="Y708" s="2496"/>
      <c r="Z708" s="2496"/>
      <c r="AA708" s="2496"/>
      <c r="AB708" s="2496"/>
      <c r="AC708" s="570"/>
      <c r="AD708" s="570"/>
      <c r="AE708" s="570"/>
      <c r="AF708" s="2404" t="s">
        <v>1516</v>
      </c>
      <c r="AG708" s="2404"/>
      <c r="AH708" s="2404"/>
      <c r="AI708" s="2404"/>
      <c r="AJ708" s="2404"/>
      <c r="AK708" s="2404"/>
      <c r="AL708" s="2404"/>
      <c r="AM708" s="584"/>
      <c r="AN708" s="719"/>
    </row>
    <row r="709" spans="1:52" s="604" customFormat="1" ht="12.75" customHeight="1">
      <c r="A709" s="584"/>
      <c r="B709" s="570"/>
      <c r="C709" s="968"/>
      <c r="D709" s="570"/>
      <c r="E709" s="2496"/>
      <c r="F709" s="2496"/>
      <c r="G709" s="2496"/>
      <c r="H709" s="2496"/>
      <c r="I709" s="2496"/>
      <c r="J709" s="2496"/>
      <c r="K709" s="2496"/>
      <c r="L709" s="2496"/>
      <c r="M709" s="2496"/>
      <c r="N709" s="2496"/>
      <c r="O709" s="2496"/>
      <c r="P709" s="2496"/>
      <c r="Q709" s="2496"/>
      <c r="R709" s="2496"/>
      <c r="S709" s="2496"/>
      <c r="T709" s="2496"/>
      <c r="U709" s="2496"/>
      <c r="V709" s="2496"/>
      <c r="W709" s="2496"/>
      <c r="X709" s="2496"/>
      <c r="Y709" s="2496"/>
      <c r="Z709" s="2496"/>
      <c r="AA709" s="2496"/>
      <c r="AB709" s="2496"/>
      <c r="AC709" s="570"/>
      <c r="AD709" s="570"/>
      <c r="AE709" s="570"/>
      <c r="AF709" s="570"/>
      <c r="AG709" s="570"/>
      <c r="AH709" s="570"/>
      <c r="AI709" s="570"/>
      <c r="AJ709" s="570"/>
      <c r="AK709" s="570"/>
      <c r="AL709" s="570"/>
      <c r="AM709" s="584"/>
      <c r="AN709" s="718"/>
      <c r="AP709" s="584" t="s">
        <v>599</v>
      </c>
      <c r="AQ709" s="707">
        <v>0</v>
      </c>
    </row>
    <row r="710" spans="1:52" s="604" customFormat="1" ht="13.95" customHeight="1">
      <c r="A710" s="584"/>
      <c r="B710" s="570"/>
      <c r="C710" s="968"/>
      <c r="D710" s="570"/>
      <c r="E710" s="2496"/>
      <c r="F710" s="2496"/>
      <c r="G710" s="2496"/>
      <c r="H710" s="2496"/>
      <c r="I710" s="2496"/>
      <c r="J710" s="2496"/>
      <c r="K710" s="2496"/>
      <c r="L710" s="2496"/>
      <c r="M710" s="2496"/>
      <c r="N710" s="2496"/>
      <c r="O710" s="2496"/>
      <c r="P710" s="2496"/>
      <c r="Q710" s="2496"/>
      <c r="R710" s="2496"/>
      <c r="S710" s="2496"/>
      <c r="T710" s="2496"/>
      <c r="U710" s="2496"/>
      <c r="V710" s="2496"/>
      <c r="W710" s="2496"/>
      <c r="X710" s="2496"/>
      <c r="Y710" s="2496"/>
      <c r="Z710" s="2496"/>
      <c r="AA710" s="2496"/>
      <c r="AB710" s="2496"/>
      <c r="AC710" s="570"/>
      <c r="AD710" s="570"/>
      <c r="AE710" s="570"/>
      <c r="AF710" s="570"/>
      <c r="AG710" s="570"/>
      <c r="AH710" s="570"/>
      <c r="AI710" s="570"/>
      <c r="AJ710" s="570"/>
      <c r="AK710" s="570"/>
      <c r="AL710" s="570"/>
      <c r="AM710" s="584"/>
      <c r="AN710" s="718"/>
      <c r="AP710" s="645" t="s">
        <v>695</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5" customHeight="1">
      <c r="A712" s="584"/>
      <c r="B712" s="570"/>
      <c r="C712" s="968"/>
      <c r="D712" s="570" t="s">
        <v>1508</v>
      </c>
      <c r="E712" s="971"/>
      <c r="F712" s="971"/>
      <c r="G712" s="971"/>
      <c r="H712" s="2487" t="s">
        <v>599</v>
      </c>
      <c r="I712" s="2487"/>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2438">
        <f>VLOOKUP($H$712,$AP$709:$AQ$711,2,FALSE)</f>
        <v>0</v>
      </c>
      <c r="AK714" s="2440"/>
      <c r="AL714" s="629"/>
      <c r="AM714" s="584"/>
      <c r="AN714" s="718"/>
      <c r="AP714" s="2438"/>
      <c r="AQ714" s="2440"/>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2458" t="s">
        <v>1883</v>
      </c>
      <c r="F718" s="2458"/>
      <c r="G718" s="2458"/>
      <c r="H718" s="2458"/>
      <c r="I718" s="2458"/>
      <c r="J718" s="2458"/>
      <c r="K718" s="2458"/>
      <c r="L718" s="2458"/>
      <c r="M718" s="2458"/>
      <c r="N718" s="2458"/>
      <c r="O718" s="2458"/>
      <c r="P718" s="2458"/>
      <c r="Q718" s="2458"/>
      <c r="R718" s="2458"/>
      <c r="S718" s="2458"/>
      <c r="T718" s="2458"/>
      <c r="U718" s="2458"/>
      <c r="V718" s="2458"/>
      <c r="W718" s="2458"/>
      <c r="X718" s="2458"/>
      <c r="Y718" s="2458"/>
      <c r="Z718" s="2458"/>
      <c r="AA718" s="2458"/>
      <c r="AB718" s="2458"/>
      <c r="AC718" s="570"/>
      <c r="AD718" s="570"/>
      <c r="AE718" s="570"/>
      <c r="AF718" s="2404" t="s">
        <v>1460</v>
      </c>
      <c r="AG718" s="2404"/>
      <c r="AH718" s="2404"/>
      <c r="AI718" s="2404"/>
      <c r="AJ718" s="2404"/>
      <c r="AK718" s="2404"/>
      <c r="AL718" s="2404"/>
      <c r="AM718" s="584"/>
      <c r="AN718" s="718"/>
      <c r="AT718" s="14"/>
      <c r="AU718" s="14"/>
      <c r="AV718" s="14"/>
      <c r="AW718" s="14"/>
      <c r="AX718" s="14"/>
      <c r="AY718" s="14"/>
      <c r="AZ718" s="14"/>
    </row>
    <row r="719" spans="1:52" s="604" customFormat="1">
      <c r="A719" s="584"/>
      <c r="B719" s="570"/>
      <c r="C719" s="968"/>
      <c r="D719" s="697"/>
      <c r="E719" s="2458"/>
      <c r="F719" s="2458"/>
      <c r="G719" s="2458"/>
      <c r="H719" s="2458"/>
      <c r="I719" s="2458"/>
      <c r="J719" s="2458"/>
      <c r="K719" s="2458"/>
      <c r="L719" s="2458"/>
      <c r="M719" s="2458"/>
      <c r="N719" s="2458"/>
      <c r="O719" s="2458"/>
      <c r="P719" s="2458"/>
      <c r="Q719" s="2458"/>
      <c r="R719" s="2458"/>
      <c r="S719" s="2458"/>
      <c r="T719" s="2458"/>
      <c r="U719" s="2458"/>
      <c r="V719" s="2458"/>
      <c r="W719" s="2458"/>
      <c r="X719" s="2458"/>
      <c r="Y719" s="2458"/>
      <c r="Z719" s="2458"/>
      <c r="AA719" s="2458"/>
      <c r="AB719" s="245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2458" t="s">
        <v>1547</v>
      </c>
      <c r="F721" s="2458"/>
      <c r="G721" s="2458"/>
      <c r="H721" s="2458"/>
      <c r="I721" s="2458"/>
      <c r="J721" s="2458"/>
      <c r="K721" s="2458"/>
      <c r="L721" s="2458"/>
      <c r="M721" s="2458"/>
      <c r="N721" s="2458"/>
      <c r="O721" s="2458"/>
      <c r="P721" s="2458"/>
      <c r="Q721" s="2458"/>
      <c r="R721" s="2458"/>
      <c r="S721" s="2458"/>
      <c r="T721" s="2458"/>
      <c r="U721" s="2458"/>
      <c r="V721" s="2458"/>
      <c r="W721" s="2458"/>
      <c r="X721" s="2458"/>
      <c r="Y721" s="2458"/>
      <c r="Z721" s="2458"/>
      <c r="AA721" s="2458"/>
      <c r="AB721" s="2458"/>
      <c r="AC721" s="570"/>
      <c r="AD721" s="570"/>
      <c r="AE721" s="570"/>
      <c r="AF721" s="2404" t="s">
        <v>1516</v>
      </c>
      <c r="AG721" s="2404"/>
      <c r="AH721" s="2404"/>
      <c r="AI721" s="2404"/>
      <c r="AJ721" s="2404"/>
      <c r="AK721" s="2404"/>
      <c r="AL721" s="2404"/>
      <c r="AM721" s="584"/>
      <c r="AN721" s="718"/>
      <c r="AT721" s="14"/>
      <c r="AU721" s="14"/>
      <c r="AV721" s="14"/>
      <c r="AW721" s="14"/>
      <c r="AX721" s="14"/>
      <c r="AY721" s="14"/>
      <c r="AZ721" s="14"/>
    </row>
    <row r="722" spans="1:81" s="604" customFormat="1">
      <c r="A722" s="584"/>
      <c r="B722" s="570"/>
      <c r="C722" s="968"/>
      <c r="D722" s="570"/>
      <c r="E722" s="2458"/>
      <c r="F722" s="2458"/>
      <c r="G722" s="2458"/>
      <c r="H722" s="2458"/>
      <c r="I722" s="2458"/>
      <c r="J722" s="2458"/>
      <c r="K722" s="2458"/>
      <c r="L722" s="2458"/>
      <c r="M722" s="2458"/>
      <c r="N722" s="2458"/>
      <c r="O722" s="2458"/>
      <c r="P722" s="2458"/>
      <c r="Q722" s="2458"/>
      <c r="R722" s="2458"/>
      <c r="S722" s="2458"/>
      <c r="T722" s="2458"/>
      <c r="U722" s="2458"/>
      <c r="V722" s="2458"/>
      <c r="W722" s="2458"/>
      <c r="X722" s="2458"/>
      <c r="Y722" s="2458"/>
      <c r="Z722" s="2458"/>
      <c r="AA722" s="2458"/>
      <c r="AB722" s="245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2487" t="s">
        <v>599</v>
      </c>
      <c r="I724" s="2487"/>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2438">
        <f>VLOOKUP($H$724,$AO$655:$AP$657,2,FALSE)</f>
        <v>0</v>
      </c>
      <c r="AK726" s="2440"/>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2458" t="s">
        <v>1550</v>
      </c>
      <c r="F730" s="2458"/>
      <c r="G730" s="2458"/>
      <c r="H730" s="2458"/>
      <c r="I730" s="2458"/>
      <c r="J730" s="2458"/>
      <c r="K730" s="2458"/>
      <c r="L730" s="2458"/>
      <c r="M730" s="2458"/>
      <c r="N730" s="2458"/>
      <c r="O730" s="2458"/>
      <c r="P730" s="2458"/>
      <c r="Q730" s="2458"/>
      <c r="R730" s="2458"/>
      <c r="S730" s="2458"/>
      <c r="T730" s="2458"/>
      <c r="U730" s="2458"/>
      <c r="V730" s="2458"/>
      <c r="W730" s="2458"/>
      <c r="X730" s="2458"/>
      <c r="Y730" s="2458"/>
      <c r="Z730" s="2458"/>
      <c r="AA730" s="2458"/>
      <c r="AB730" s="2458"/>
      <c r="AC730" s="570"/>
      <c r="AD730" s="570"/>
      <c r="AE730" s="570"/>
      <c r="AF730" s="2404" t="s">
        <v>1460</v>
      </c>
      <c r="AG730" s="2404"/>
      <c r="AH730" s="2404"/>
      <c r="AI730" s="2404"/>
      <c r="AJ730" s="2404"/>
      <c r="AK730" s="2404"/>
      <c r="AL730" s="2404"/>
      <c r="AM730" s="584"/>
      <c r="AN730" s="718"/>
      <c r="AT730" s="14"/>
      <c r="AU730" s="14"/>
      <c r="AV730" s="14"/>
      <c r="AW730" s="14"/>
      <c r="AX730" s="14"/>
      <c r="AY730" s="14"/>
      <c r="AZ730" s="14"/>
    </row>
    <row r="731" spans="1:81" s="604" customFormat="1">
      <c r="A731" s="584"/>
      <c r="B731" s="570"/>
      <c r="C731" s="966"/>
      <c r="D731" s="697"/>
      <c r="E731" s="2458"/>
      <c r="F731" s="2458"/>
      <c r="G731" s="2458"/>
      <c r="H731" s="2458"/>
      <c r="I731" s="2458"/>
      <c r="J731" s="2458"/>
      <c r="K731" s="2458"/>
      <c r="L731" s="2458"/>
      <c r="M731" s="2458"/>
      <c r="N731" s="2458"/>
      <c r="O731" s="2458"/>
      <c r="P731" s="2458"/>
      <c r="Q731" s="2458"/>
      <c r="R731" s="2458"/>
      <c r="S731" s="2458"/>
      <c r="T731" s="2458"/>
      <c r="U731" s="2458"/>
      <c r="V731" s="2458"/>
      <c r="W731" s="2458"/>
      <c r="X731" s="2458"/>
      <c r="Y731" s="2458"/>
      <c r="Z731" s="2458"/>
      <c r="AA731" s="2458"/>
      <c r="AB731" s="245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2458"/>
      <c r="F732" s="2458"/>
      <c r="G732" s="2458"/>
      <c r="H732" s="2458"/>
      <c r="I732" s="2458"/>
      <c r="J732" s="2458"/>
      <c r="K732" s="2458"/>
      <c r="L732" s="2458"/>
      <c r="M732" s="2458"/>
      <c r="N732" s="2458"/>
      <c r="O732" s="2458"/>
      <c r="P732" s="2458"/>
      <c r="Q732" s="2458"/>
      <c r="R732" s="2458"/>
      <c r="S732" s="2458"/>
      <c r="T732" s="2458"/>
      <c r="U732" s="2458"/>
      <c r="V732" s="2458"/>
      <c r="W732" s="2458"/>
      <c r="X732" s="2458"/>
      <c r="Y732" s="2458"/>
      <c r="Z732" s="2458"/>
      <c r="AA732" s="2458"/>
      <c r="AB732" s="245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2458"/>
      <c r="F733" s="2458"/>
      <c r="G733" s="2458"/>
      <c r="H733" s="2458"/>
      <c r="I733" s="2458"/>
      <c r="J733" s="2458"/>
      <c r="K733" s="2458"/>
      <c r="L733" s="2458"/>
      <c r="M733" s="2458"/>
      <c r="N733" s="2458"/>
      <c r="O733" s="2458"/>
      <c r="P733" s="2458"/>
      <c r="Q733" s="2458"/>
      <c r="R733" s="2458"/>
      <c r="S733" s="2458"/>
      <c r="T733" s="2458"/>
      <c r="U733" s="2458"/>
      <c r="V733" s="2458"/>
      <c r="W733" s="2458"/>
      <c r="X733" s="2458"/>
      <c r="Y733" s="2458"/>
      <c r="Z733" s="2458"/>
      <c r="AA733" s="2458"/>
      <c r="AB733" s="245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2458" t="s">
        <v>1551</v>
      </c>
      <c r="F735" s="2458"/>
      <c r="G735" s="2458"/>
      <c r="H735" s="2458"/>
      <c r="I735" s="2458"/>
      <c r="J735" s="2458"/>
      <c r="K735" s="2458"/>
      <c r="L735" s="2458"/>
      <c r="M735" s="2458"/>
      <c r="N735" s="2458"/>
      <c r="O735" s="2458"/>
      <c r="P735" s="2458"/>
      <c r="Q735" s="2458"/>
      <c r="R735" s="2458"/>
      <c r="S735" s="2458"/>
      <c r="T735" s="2458"/>
      <c r="U735" s="2458"/>
      <c r="V735" s="2458"/>
      <c r="W735" s="2458"/>
      <c r="X735" s="2458"/>
      <c r="Y735" s="2458"/>
      <c r="Z735" s="2458"/>
      <c r="AA735" s="2458"/>
      <c r="AB735" s="609"/>
      <c r="AC735" s="570"/>
      <c r="AD735" s="570"/>
      <c r="AE735" s="570"/>
      <c r="AF735" s="2404" t="s">
        <v>1516</v>
      </c>
      <c r="AG735" s="2404"/>
      <c r="AH735" s="2404"/>
      <c r="AI735" s="2404"/>
      <c r="AJ735" s="2404"/>
      <c r="AK735" s="2404"/>
      <c r="AL735" s="2404"/>
      <c r="AM735" s="584"/>
      <c r="AN735" s="718"/>
      <c r="AO735" s="30"/>
      <c r="AP735" s="14"/>
    </row>
    <row r="736" spans="1:81" s="604" customFormat="1">
      <c r="A736" s="584"/>
      <c r="B736" s="570"/>
      <c r="C736" s="966"/>
      <c r="D736" s="697"/>
      <c r="E736" s="2458"/>
      <c r="F736" s="2458"/>
      <c r="G736" s="2458"/>
      <c r="H736" s="2458"/>
      <c r="I736" s="2458"/>
      <c r="J736" s="2458"/>
      <c r="K736" s="2458"/>
      <c r="L736" s="2458"/>
      <c r="M736" s="2458"/>
      <c r="N736" s="2458"/>
      <c r="O736" s="2458"/>
      <c r="P736" s="2458"/>
      <c r="Q736" s="2458"/>
      <c r="R736" s="2458"/>
      <c r="S736" s="2458"/>
      <c r="T736" s="2458"/>
      <c r="U736" s="2458"/>
      <c r="V736" s="2458"/>
      <c r="W736" s="2458"/>
      <c r="X736" s="2458"/>
      <c r="Y736" s="2458"/>
      <c r="Z736" s="2458"/>
      <c r="AA736" s="245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2458"/>
      <c r="F737" s="2458"/>
      <c r="G737" s="2458"/>
      <c r="H737" s="2458"/>
      <c r="I737" s="2458"/>
      <c r="J737" s="2458"/>
      <c r="K737" s="2458"/>
      <c r="L737" s="2458"/>
      <c r="M737" s="2458"/>
      <c r="N737" s="2458"/>
      <c r="O737" s="2458"/>
      <c r="P737" s="2458"/>
      <c r="Q737" s="2458"/>
      <c r="R737" s="2458"/>
      <c r="S737" s="2458"/>
      <c r="T737" s="2458"/>
      <c r="U737" s="2458"/>
      <c r="V737" s="2458"/>
      <c r="W737" s="2458"/>
      <c r="X737" s="2458"/>
      <c r="Y737" s="2458"/>
      <c r="Z737" s="2458"/>
      <c r="AA737" s="245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2458"/>
      <c r="F738" s="2458"/>
      <c r="G738" s="2458"/>
      <c r="H738" s="2458"/>
      <c r="I738" s="2458"/>
      <c r="J738" s="2458"/>
      <c r="K738" s="2458"/>
      <c r="L738" s="2458"/>
      <c r="M738" s="2458"/>
      <c r="N738" s="2458"/>
      <c r="O738" s="2458"/>
      <c r="P738" s="2458"/>
      <c r="Q738" s="2458"/>
      <c r="R738" s="2458"/>
      <c r="S738" s="2458"/>
      <c r="T738" s="2458"/>
      <c r="U738" s="2458"/>
      <c r="V738" s="2458"/>
      <c r="W738" s="2458"/>
      <c r="X738" s="2458"/>
      <c r="Y738" s="2458"/>
      <c r="Z738" s="2458"/>
      <c r="AA738" s="245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2487" t="s">
        <v>695</v>
      </c>
      <c r="I740" s="2487"/>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2438">
        <f>VLOOKUP($H$740,$AO$669:$AP$671,2,FALSE)</f>
        <v>3</v>
      </c>
      <c r="AK742" s="2440"/>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2458" t="s">
        <v>1553</v>
      </c>
      <c r="F746" s="2458"/>
      <c r="G746" s="2458"/>
      <c r="H746" s="2458"/>
      <c r="I746" s="2458"/>
      <c r="J746" s="2458"/>
      <c r="K746" s="2458"/>
      <c r="L746" s="2458"/>
      <c r="M746" s="2458"/>
      <c r="N746" s="2458"/>
      <c r="O746" s="2458"/>
      <c r="P746" s="2458"/>
      <c r="Q746" s="2458"/>
      <c r="R746" s="2458"/>
      <c r="S746" s="2458"/>
      <c r="T746" s="2458"/>
      <c r="U746" s="2458"/>
      <c r="V746" s="2458"/>
      <c r="W746" s="2458"/>
      <c r="X746" s="2458"/>
      <c r="Y746" s="2458"/>
      <c r="Z746" s="2458"/>
      <c r="AA746" s="2458"/>
      <c r="AB746" s="2458"/>
      <c r="AC746" s="570"/>
      <c r="AD746" s="570"/>
      <c r="AE746" s="570"/>
      <c r="AF746" s="2404" t="s">
        <v>1516</v>
      </c>
      <c r="AG746" s="2404"/>
      <c r="AH746" s="2404"/>
      <c r="AI746" s="2404"/>
      <c r="AJ746" s="2404"/>
      <c r="AK746" s="2404"/>
      <c r="AL746" s="2404"/>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2458"/>
      <c r="F747" s="2458"/>
      <c r="G747" s="2458"/>
      <c r="H747" s="2458"/>
      <c r="I747" s="2458"/>
      <c r="J747" s="2458"/>
      <c r="K747" s="2458"/>
      <c r="L747" s="2458"/>
      <c r="M747" s="2458"/>
      <c r="N747" s="2458"/>
      <c r="O747" s="2458"/>
      <c r="P747" s="2458"/>
      <c r="Q747" s="2458"/>
      <c r="R747" s="2458"/>
      <c r="S747" s="2458"/>
      <c r="T747" s="2458"/>
      <c r="U747" s="2458"/>
      <c r="V747" s="2458"/>
      <c r="W747" s="2458"/>
      <c r="X747" s="2458"/>
      <c r="Y747" s="2458"/>
      <c r="Z747" s="2458"/>
      <c r="AA747" s="2458"/>
      <c r="AB747" s="245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2458" t="s">
        <v>1554</v>
      </c>
      <c r="F749" s="2458"/>
      <c r="G749" s="2458"/>
      <c r="H749" s="2458"/>
      <c r="I749" s="2458"/>
      <c r="J749" s="2458"/>
      <c r="K749" s="2458"/>
      <c r="L749" s="2458"/>
      <c r="M749" s="2458"/>
      <c r="N749" s="2458"/>
      <c r="O749" s="2458"/>
      <c r="P749" s="2458"/>
      <c r="Q749" s="2458"/>
      <c r="R749" s="2458"/>
      <c r="S749" s="2458"/>
      <c r="T749" s="2458"/>
      <c r="U749" s="2458"/>
      <c r="V749" s="2458"/>
      <c r="W749" s="2458"/>
      <c r="X749" s="2458"/>
      <c r="Y749" s="2458"/>
      <c r="Z749" s="2458"/>
      <c r="AA749" s="2458"/>
      <c r="AB749" s="2458"/>
      <c r="AC749" s="570"/>
      <c r="AD749" s="570"/>
      <c r="AE749" s="570"/>
      <c r="AF749" s="2404" t="s">
        <v>1533</v>
      </c>
      <c r="AG749" s="2404"/>
      <c r="AH749" s="2404"/>
      <c r="AI749" s="2404"/>
      <c r="AJ749" s="2404"/>
      <c r="AK749" s="2404"/>
      <c r="AL749" s="2404"/>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2458"/>
      <c r="F750" s="2458"/>
      <c r="G750" s="2458"/>
      <c r="H750" s="2458"/>
      <c r="I750" s="2458"/>
      <c r="J750" s="2458"/>
      <c r="K750" s="2458"/>
      <c r="L750" s="2458"/>
      <c r="M750" s="2458"/>
      <c r="N750" s="2458"/>
      <c r="O750" s="2458"/>
      <c r="P750" s="2458"/>
      <c r="Q750" s="2458"/>
      <c r="R750" s="2458"/>
      <c r="S750" s="2458"/>
      <c r="T750" s="2458"/>
      <c r="U750" s="2458"/>
      <c r="V750" s="2458"/>
      <c r="W750" s="2458"/>
      <c r="X750" s="2458"/>
      <c r="Y750" s="2458"/>
      <c r="Z750" s="2458"/>
      <c r="AA750" s="2458"/>
      <c r="AB750" s="245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2487" t="s">
        <v>695</v>
      </c>
      <c r="I752" s="2487"/>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2438">
        <f>VLOOKUP($H$752,$AO$686:$AP$688,2,FALSE)</f>
        <v>2</v>
      </c>
      <c r="AK754" s="2440"/>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8" customHeight="1">
      <c r="A758" s="584"/>
      <c r="B758" s="650"/>
      <c r="C758" s="975"/>
      <c r="D758" s="697" t="s">
        <v>695</v>
      </c>
      <c r="E758" s="2458" t="s">
        <v>1879</v>
      </c>
      <c r="F758" s="2458"/>
      <c r="G758" s="2458"/>
      <c r="H758" s="2458"/>
      <c r="I758" s="2458"/>
      <c r="J758" s="2458"/>
      <c r="K758" s="2458"/>
      <c r="L758" s="2458"/>
      <c r="M758" s="2458"/>
      <c r="N758" s="2458"/>
      <c r="O758" s="2458"/>
      <c r="P758" s="2458"/>
      <c r="Q758" s="2458"/>
      <c r="R758" s="2458"/>
      <c r="S758" s="2458"/>
      <c r="T758" s="2458"/>
      <c r="U758" s="2458"/>
      <c r="V758" s="2458"/>
      <c r="W758" s="2458"/>
      <c r="X758" s="2458"/>
      <c r="Y758" s="2458"/>
      <c r="Z758" s="2458"/>
      <c r="AA758" s="2458"/>
      <c r="AB758" s="2458"/>
      <c r="AC758" s="2458"/>
      <c r="AD758" s="2458"/>
      <c r="AE758" s="570"/>
      <c r="AF758" s="2404" t="s">
        <v>1516</v>
      </c>
      <c r="AG758" s="2404"/>
      <c r="AH758" s="2404"/>
      <c r="AI758" s="2404"/>
      <c r="AJ758" s="2404"/>
      <c r="AK758" s="2404"/>
      <c r="AL758" s="2404"/>
      <c r="AM758" s="647"/>
      <c r="AN758" s="718"/>
      <c r="AO758" s="584" t="s">
        <v>599</v>
      </c>
      <c r="AP758" s="707">
        <v>0</v>
      </c>
    </row>
    <row r="759" spans="1:74" s="604" customFormat="1" ht="13.8" customHeight="1">
      <c r="A759" s="584"/>
      <c r="B759" s="650"/>
      <c r="C759" s="975"/>
      <c r="D759" s="697"/>
      <c r="E759" s="2458"/>
      <c r="F759" s="2458"/>
      <c r="G759" s="2458"/>
      <c r="H759" s="2458"/>
      <c r="I759" s="2458"/>
      <c r="J759" s="2458"/>
      <c r="K759" s="2458"/>
      <c r="L759" s="2458"/>
      <c r="M759" s="2458"/>
      <c r="N759" s="2458"/>
      <c r="O759" s="2458"/>
      <c r="P759" s="2458"/>
      <c r="Q759" s="2458"/>
      <c r="R759" s="2458"/>
      <c r="S759" s="2458"/>
      <c r="T759" s="2458"/>
      <c r="U759" s="2458"/>
      <c r="V759" s="2458"/>
      <c r="W759" s="2458"/>
      <c r="X759" s="2458"/>
      <c r="Y759" s="2458"/>
      <c r="Z759" s="2458"/>
      <c r="AA759" s="2458"/>
      <c r="AB759" s="2458"/>
      <c r="AC759" s="2458"/>
      <c r="AD759" s="2458"/>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2458"/>
      <c r="F760" s="2458"/>
      <c r="G760" s="2458"/>
      <c r="H760" s="2458"/>
      <c r="I760" s="2458"/>
      <c r="J760" s="2458"/>
      <c r="K760" s="2458"/>
      <c r="L760" s="2458"/>
      <c r="M760" s="2458"/>
      <c r="N760" s="2458"/>
      <c r="O760" s="2458"/>
      <c r="P760" s="2458"/>
      <c r="Q760" s="2458"/>
      <c r="R760" s="2458"/>
      <c r="S760" s="2458"/>
      <c r="T760" s="2458"/>
      <c r="U760" s="2458"/>
      <c r="V760" s="2458"/>
      <c r="W760" s="2458"/>
      <c r="X760" s="2458"/>
      <c r="Y760" s="2458"/>
      <c r="Z760" s="2458"/>
      <c r="AA760" s="2458"/>
      <c r="AB760" s="2458"/>
      <c r="AC760" s="2458"/>
      <c r="AD760" s="2458"/>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45" customHeight="1">
      <c r="A761" s="584"/>
      <c r="B761" s="650"/>
      <c r="C761" s="975"/>
      <c r="D761" s="697"/>
      <c r="E761" s="2458"/>
      <c r="F761" s="2458"/>
      <c r="G761" s="2458"/>
      <c r="H761" s="2458"/>
      <c r="I761" s="2458"/>
      <c r="J761" s="2458"/>
      <c r="K761" s="2458"/>
      <c r="L761" s="2458"/>
      <c r="M761" s="2458"/>
      <c r="N761" s="2458"/>
      <c r="O761" s="2458"/>
      <c r="P761" s="2458"/>
      <c r="Q761" s="2458"/>
      <c r="R761" s="2458"/>
      <c r="S761" s="2458"/>
      <c r="T761" s="2458"/>
      <c r="U761" s="2458"/>
      <c r="V761" s="2458"/>
      <c r="W761" s="2458"/>
      <c r="X761" s="2458"/>
      <c r="Y761" s="2458"/>
      <c r="Z761" s="2458"/>
      <c r="AA761" s="2458"/>
      <c r="AB761" s="2458"/>
      <c r="AC761" s="2458"/>
      <c r="AD761" s="245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497" t="s">
        <v>1884</v>
      </c>
      <c r="F763" s="2497"/>
      <c r="G763" s="2497"/>
      <c r="H763" s="2497"/>
      <c r="I763" s="2497"/>
      <c r="J763" s="2497"/>
      <c r="K763" s="2497"/>
      <c r="L763" s="2497"/>
      <c r="M763" s="2497"/>
      <c r="N763" s="2497"/>
      <c r="O763" s="2497"/>
      <c r="P763" s="2497"/>
      <c r="Q763" s="2497"/>
      <c r="R763" s="2497"/>
      <c r="S763" s="2497"/>
      <c r="T763" s="2497"/>
      <c r="U763" s="2497"/>
      <c r="V763" s="2497"/>
      <c r="W763" s="2497"/>
      <c r="X763" s="2497"/>
      <c r="Y763" s="2497"/>
      <c r="Z763" s="2497"/>
      <c r="AA763" s="2497"/>
      <c r="AB763" s="2497"/>
      <c r="AC763" s="2497"/>
      <c r="AD763" s="2497"/>
      <c r="AE763" s="570"/>
      <c r="AF763" s="2404" t="s">
        <v>1460</v>
      </c>
      <c r="AG763" s="2404"/>
      <c r="AH763" s="2404"/>
      <c r="AI763" s="2404"/>
      <c r="AJ763" s="2404"/>
      <c r="AK763" s="2404"/>
      <c r="AL763" s="2404"/>
      <c r="AM763" s="647"/>
      <c r="AN763" s="631"/>
    </row>
    <row r="764" spans="1:74" s="584" customFormat="1" ht="12.75" customHeight="1">
      <c r="B764" s="650"/>
      <c r="C764" s="975"/>
      <c r="D764" s="697"/>
      <c r="E764" s="2497"/>
      <c r="F764" s="2497"/>
      <c r="G764" s="2497"/>
      <c r="H764" s="2497"/>
      <c r="I764" s="2497"/>
      <c r="J764" s="2497"/>
      <c r="K764" s="2497"/>
      <c r="L764" s="2497"/>
      <c r="M764" s="2497"/>
      <c r="N764" s="2497"/>
      <c r="O764" s="2497"/>
      <c r="P764" s="2497"/>
      <c r="Q764" s="2497"/>
      <c r="R764" s="2497"/>
      <c r="S764" s="2497"/>
      <c r="T764" s="2497"/>
      <c r="U764" s="2497"/>
      <c r="V764" s="2497"/>
      <c r="W764" s="2497"/>
      <c r="X764" s="2497"/>
      <c r="Y764" s="2497"/>
      <c r="Z764" s="2497"/>
      <c r="AA764" s="2497"/>
      <c r="AB764" s="2497"/>
      <c r="AC764" s="2497"/>
      <c r="AD764" s="2497"/>
      <c r="AE764" s="628"/>
      <c r="AF764" s="628"/>
      <c r="AG764" s="628"/>
      <c r="AH764" s="628"/>
      <c r="AI764" s="628"/>
      <c r="AJ764" s="628"/>
      <c r="AK764" s="628"/>
      <c r="AL764" s="628"/>
      <c r="AM764" s="647"/>
      <c r="AN764" s="631"/>
    </row>
    <row r="765" spans="1:74" s="584" customFormat="1" ht="12.75" customHeight="1">
      <c r="B765" s="650"/>
      <c r="C765" s="975"/>
      <c r="D765" s="697"/>
      <c r="E765" s="2497"/>
      <c r="F765" s="2497"/>
      <c r="G765" s="2497"/>
      <c r="H765" s="2497"/>
      <c r="I765" s="2497"/>
      <c r="J765" s="2497"/>
      <c r="K765" s="2497"/>
      <c r="L765" s="2497"/>
      <c r="M765" s="2497"/>
      <c r="N765" s="2497"/>
      <c r="O765" s="2497"/>
      <c r="P765" s="2497"/>
      <c r="Q765" s="2497"/>
      <c r="R765" s="2497"/>
      <c r="S765" s="2497"/>
      <c r="T765" s="2497"/>
      <c r="U765" s="2497"/>
      <c r="V765" s="2497"/>
      <c r="W765" s="2497"/>
      <c r="X765" s="2497"/>
      <c r="Y765" s="2497"/>
      <c r="Z765" s="2497"/>
      <c r="AA765" s="2497"/>
      <c r="AB765" s="2497"/>
      <c r="AC765" s="2497"/>
      <c r="AD765" s="2497"/>
      <c r="AE765" s="628"/>
      <c r="AF765" s="628"/>
      <c r="AG765" s="628"/>
      <c r="AH765" s="628"/>
      <c r="AI765" s="628"/>
      <c r="AJ765" s="628"/>
      <c r="AK765" s="628"/>
      <c r="AL765" s="628"/>
      <c r="AM765" s="647"/>
      <c r="AN765" s="631"/>
    </row>
    <row r="766" spans="1:74" s="584" customFormat="1" ht="12.75" customHeight="1">
      <c r="B766" s="650"/>
      <c r="C766" s="975"/>
      <c r="D766" s="697"/>
      <c r="E766" s="2497"/>
      <c r="F766" s="2497"/>
      <c r="G766" s="2497"/>
      <c r="H766" s="2497"/>
      <c r="I766" s="2497"/>
      <c r="J766" s="2497"/>
      <c r="K766" s="2497"/>
      <c r="L766" s="2497"/>
      <c r="M766" s="2497"/>
      <c r="N766" s="2497"/>
      <c r="O766" s="2497"/>
      <c r="P766" s="2497"/>
      <c r="Q766" s="2497"/>
      <c r="R766" s="2497"/>
      <c r="S766" s="2497"/>
      <c r="T766" s="2497"/>
      <c r="U766" s="2497"/>
      <c r="V766" s="2497"/>
      <c r="W766" s="2497"/>
      <c r="X766" s="2497"/>
      <c r="Y766" s="2497"/>
      <c r="Z766" s="2497"/>
      <c r="AA766" s="2497"/>
      <c r="AB766" s="2497"/>
      <c r="AC766" s="2497"/>
      <c r="AD766" s="249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2487" t="s">
        <v>599</v>
      </c>
      <c r="I768" s="2487"/>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2438">
        <f>VLOOKUP($H$768,$AO$758:$AP$760,2,FALSE)</f>
        <v>0</v>
      </c>
      <c r="AK770" s="2440"/>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8" customHeight="1">
      <c r="A774" s="584"/>
      <c r="B774" s="650"/>
      <c r="C774" s="975"/>
      <c r="D774" s="697" t="s">
        <v>695</v>
      </c>
      <c r="E774" s="2458" t="s">
        <v>2341</v>
      </c>
      <c r="F774" s="2458"/>
      <c r="G774" s="2458"/>
      <c r="H774" s="2458"/>
      <c r="I774" s="2458"/>
      <c r="J774" s="2458"/>
      <c r="K774" s="2458"/>
      <c r="L774" s="2458"/>
      <c r="M774" s="2458"/>
      <c r="N774" s="2458"/>
      <c r="O774" s="2458"/>
      <c r="P774" s="2458"/>
      <c r="Q774" s="2458"/>
      <c r="R774" s="2458"/>
      <c r="S774" s="2458"/>
      <c r="T774" s="2458"/>
      <c r="U774" s="2458"/>
      <c r="V774" s="2458"/>
      <c r="W774" s="2458"/>
      <c r="X774" s="2458"/>
      <c r="Y774" s="2458"/>
      <c r="Z774" s="2458"/>
      <c r="AA774" s="2458"/>
      <c r="AB774" s="2458"/>
      <c r="AC774" s="2458"/>
      <c r="AD774" s="2458"/>
      <c r="AE774" s="570"/>
      <c r="AF774" s="2404" t="s">
        <v>1460</v>
      </c>
      <c r="AG774" s="2404"/>
      <c r="AH774" s="2404"/>
      <c r="AI774" s="2404"/>
      <c r="AJ774" s="2404"/>
      <c r="AK774" s="2404"/>
      <c r="AL774" s="2404"/>
      <c r="AM774" s="647"/>
      <c r="AN774" s="718"/>
      <c r="AO774" s="645" t="s">
        <v>553</v>
      </c>
      <c r="AP774" s="584">
        <v>3</v>
      </c>
      <c r="AT774" s="708"/>
      <c r="AU774" s="708"/>
      <c r="AV774" s="708"/>
      <c r="AW774" s="708"/>
      <c r="AX774" s="708"/>
      <c r="AY774" s="708"/>
      <c r="AZ774" s="708"/>
    </row>
    <row r="775" spans="1:81" s="604" customFormat="1" ht="13.8" customHeight="1">
      <c r="A775" s="584"/>
      <c r="B775" s="650"/>
      <c r="C775" s="975"/>
      <c r="D775" s="697"/>
      <c r="E775" s="2458"/>
      <c r="F775" s="2458"/>
      <c r="G775" s="2458"/>
      <c r="H775" s="2458"/>
      <c r="I775" s="2458"/>
      <c r="J775" s="2458"/>
      <c r="K775" s="2458"/>
      <c r="L775" s="2458"/>
      <c r="M775" s="2458"/>
      <c r="N775" s="2458"/>
      <c r="O775" s="2458"/>
      <c r="P775" s="2458"/>
      <c r="Q775" s="2458"/>
      <c r="R775" s="2458"/>
      <c r="S775" s="2458"/>
      <c r="T775" s="2458"/>
      <c r="U775" s="2458"/>
      <c r="V775" s="2458"/>
      <c r="W775" s="2458"/>
      <c r="X775" s="2458"/>
      <c r="Y775" s="2458"/>
      <c r="Z775" s="2458"/>
      <c r="AA775" s="2458"/>
      <c r="AB775" s="2458"/>
      <c r="AC775" s="2458"/>
      <c r="AD775" s="245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2458"/>
      <c r="F776" s="2458"/>
      <c r="G776" s="2458"/>
      <c r="H776" s="2458"/>
      <c r="I776" s="2458"/>
      <c r="J776" s="2458"/>
      <c r="K776" s="2458"/>
      <c r="L776" s="2458"/>
      <c r="M776" s="2458"/>
      <c r="N776" s="2458"/>
      <c r="O776" s="2458"/>
      <c r="P776" s="2458"/>
      <c r="Q776" s="2458"/>
      <c r="R776" s="2458"/>
      <c r="S776" s="2458"/>
      <c r="T776" s="2458"/>
      <c r="U776" s="2458"/>
      <c r="V776" s="2458"/>
      <c r="W776" s="2458"/>
      <c r="X776" s="2458"/>
      <c r="Y776" s="2458"/>
      <c r="Z776" s="2458"/>
      <c r="AA776" s="2458"/>
      <c r="AB776" s="2458"/>
      <c r="AC776" s="2458"/>
      <c r="AD776" s="245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2458"/>
      <c r="F777" s="2458"/>
      <c r="G777" s="2458"/>
      <c r="H777" s="2458"/>
      <c r="I777" s="2458"/>
      <c r="J777" s="2458"/>
      <c r="K777" s="2458"/>
      <c r="L777" s="2458"/>
      <c r="M777" s="2458"/>
      <c r="N777" s="2458"/>
      <c r="O777" s="2458"/>
      <c r="P777" s="2458"/>
      <c r="Q777" s="2458"/>
      <c r="R777" s="2458"/>
      <c r="S777" s="2458"/>
      <c r="T777" s="2458"/>
      <c r="U777" s="2458"/>
      <c r="V777" s="2458"/>
      <c r="W777" s="2458"/>
      <c r="X777" s="2458"/>
      <c r="Y777" s="2458"/>
      <c r="Z777" s="2458"/>
      <c r="AA777" s="2458"/>
      <c r="AB777" s="2458"/>
      <c r="AC777" s="2458"/>
      <c r="AD777" s="245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2487" t="s">
        <v>553</v>
      </c>
      <c r="I779" s="2487"/>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2438">
        <f>VLOOKUP($H$779,$AO$773:$AP$774,2,FALSE)</f>
        <v>3</v>
      </c>
      <c r="AK781" s="2440"/>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2438">
        <f>IF(($AJ$610+$AJ$629+$AJ$641+$AJ$676+$AJ$700+$AJ$714+$AJ$726+$AJ$742+$AJ$754+$AJ$770+AJ781)&gt;10,10,($AJ$610+$AJ$629+$AJ$641+$AJ$676+$AJ$700+$AJ$714+$AJ$726+$AJ$742+$AJ$754+$AJ$770+AJ781))</f>
        <v>10</v>
      </c>
      <c r="AL783" s="2439"/>
      <c r="AM783" s="2440"/>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548" t="s">
        <v>1677</v>
      </c>
      <c r="B786" s="2549"/>
      <c r="C786" s="2549"/>
      <c r="D786" s="2549"/>
      <c r="E786" s="2549"/>
      <c r="F786" s="2549"/>
      <c r="G786" s="2549"/>
      <c r="H786" s="2549"/>
      <c r="I786" s="2549"/>
      <c r="J786" s="2549"/>
      <c r="K786" s="2549"/>
      <c r="L786" s="2549"/>
      <c r="M786" s="2549"/>
      <c r="N786" s="2549"/>
      <c r="O786" s="2549"/>
      <c r="P786" s="2549"/>
      <c r="Q786" s="2549"/>
      <c r="R786" s="2549"/>
      <c r="S786" s="2549"/>
      <c r="T786" s="2549"/>
      <c r="U786" s="2549"/>
      <c r="V786" s="2549"/>
      <c r="W786" s="2549"/>
      <c r="X786" s="2549"/>
      <c r="Y786" s="2549"/>
      <c r="Z786" s="2549"/>
      <c r="AA786" s="2549"/>
      <c r="AB786" s="2549"/>
      <c r="AC786" s="2549"/>
      <c r="AD786" s="2549"/>
      <c r="AE786" s="2549"/>
      <c r="AF786" s="2549"/>
      <c r="AG786" s="2549"/>
      <c r="AH786" s="2549"/>
      <c r="AI786" s="2549"/>
      <c r="AJ786" s="2549"/>
      <c r="AK786" s="2549"/>
      <c r="AL786" s="2549"/>
      <c r="AM786" s="2549"/>
    </row>
    <row r="787" spans="1:43">
      <c r="A787" s="2550"/>
      <c r="B787" s="2550"/>
      <c r="C787" s="2550"/>
      <c r="D787" s="2550"/>
      <c r="E787" s="2550"/>
      <c r="F787" s="2550"/>
      <c r="G787" s="2550"/>
      <c r="H787" s="2550"/>
      <c r="I787" s="2550"/>
      <c r="J787" s="2550"/>
      <c r="K787" s="2550"/>
      <c r="L787" s="2550"/>
      <c r="M787" s="2550"/>
      <c r="N787" s="2550"/>
      <c r="O787" s="2550"/>
      <c r="P787" s="2550"/>
      <c r="Q787" s="2550"/>
      <c r="R787" s="2550"/>
      <c r="S787" s="2550"/>
      <c r="T787" s="2550"/>
      <c r="U787" s="2550"/>
      <c r="V787" s="2550"/>
      <c r="W787" s="2550"/>
      <c r="X787" s="2550"/>
      <c r="Y787" s="2550"/>
      <c r="Z787" s="2550"/>
      <c r="AA787" s="2550"/>
      <c r="AB787" s="2550"/>
      <c r="AC787" s="2550"/>
      <c r="AD787" s="2550"/>
      <c r="AE787" s="2550"/>
      <c r="AF787" s="2550"/>
      <c r="AG787" s="2550"/>
      <c r="AH787" s="2550"/>
      <c r="AI787" s="2550"/>
      <c r="AJ787" s="2550"/>
      <c r="AK787" s="2550"/>
      <c r="AL787" s="2550"/>
      <c r="AM787" s="2550"/>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479"/>
      <c r="B789" s="2479"/>
      <c r="C789" s="2479"/>
      <c r="D789" s="2479"/>
      <c r="E789" s="2479"/>
      <c r="F789" s="2479"/>
      <c r="G789" s="2479"/>
      <c r="H789" s="2479"/>
      <c r="I789" s="2479"/>
      <c r="J789" s="2479"/>
      <c r="K789" s="2479"/>
      <c r="L789" s="2479"/>
      <c r="M789" s="2479"/>
      <c r="N789" s="2479"/>
      <c r="O789" s="2479"/>
      <c r="P789" s="2479"/>
      <c r="Q789" s="2479"/>
      <c r="R789" s="2479"/>
      <c r="S789" s="2479"/>
      <c r="T789" s="2479"/>
      <c r="U789" s="2479"/>
      <c r="V789" s="2479"/>
      <c r="W789" s="2479"/>
      <c r="X789" s="2479"/>
      <c r="Y789" s="2479"/>
      <c r="Z789" s="2479"/>
      <c r="AA789" s="2479"/>
      <c r="AB789" s="2479"/>
      <c r="AC789" s="2479"/>
      <c r="AD789" s="2479"/>
      <c r="AE789" s="2479"/>
      <c r="AF789" s="2479"/>
      <c r="AG789" s="2479"/>
      <c r="AH789" s="2479"/>
      <c r="AI789" s="2479"/>
      <c r="AJ789" s="2479"/>
      <c r="AK789" s="2479"/>
      <c r="AL789" s="2479"/>
      <c r="AM789" s="2479"/>
      <c r="AP789" s="850"/>
      <c r="AQ789" s="850"/>
    </row>
    <row r="790" spans="1:43">
      <c r="A790" s="2479"/>
      <c r="B790" s="2479"/>
      <c r="C790" s="2479"/>
      <c r="D790" s="2479"/>
      <c r="E790" s="2479"/>
      <c r="F790" s="2479"/>
      <c r="G790" s="2479"/>
      <c r="H790" s="2479"/>
      <c r="I790" s="2479"/>
      <c r="J790" s="2479"/>
      <c r="K790" s="2479"/>
      <c r="L790" s="2479"/>
      <c r="M790" s="2479"/>
      <c r="N790" s="2479"/>
      <c r="O790" s="2479"/>
      <c r="P790" s="2479"/>
      <c r="Q790" s="2479"/>
      <c r="R790" s="2479"/>
      <c r="S790" s="2479"/>
      <c r="T790" s="2479"/>
      <c r="U790" s="2479"/>
      <c r="V790" s="2479"/>
      <c r="W790" s="2479"/>
      <c r="X790" s="2479"/>
      <c r="Y790" s="2479"/>
      <c r="Z790" s="2479"/>
      <c r="AA790" s="2479"/>
      <c r="AB790" s="2479"/>
      <c r="AC790" s="2479"/>
      <c r="AD790" s="2479"/>
      <c r="AE790" s="2479"/>
      <c r="AF790" s="2479"/>
      <c r="AG790" s="2479"/>
      <c r="AH790" s="2479"/>
      <c r="AI790" s="2479"/>
      <c r="AJ790" s="2479"/>
      <c r="AK790" s="2479"/>
      <c r="AL790" s="2479"/>
      <c r="AM790" s="247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551" t="s">
        <v>1678</v>
      </c>
      <c r="U791" s="2552"/>
      <c r="V791" s="2552"/>
      <c r="W791" s="2552"/>
      <c r="X791" s="2552"/>
      <c r="Y791" s="2553"/>
      <c r="Z791" s="2551" t="s">
        <v>1679</v>
      </c>
      <c r="AA791" s="2552"/>
      <c r="AB791" s="2552"/>
      <c r="AC791" s="2552"/>
      <c r="AD791" s="2552"/>
      <c r="AE791" s="2553"/>
      <c r="AF791" s="2551" t="s">
        <v>1680</v>
      </c>
      <c r="AG791" s="2552"/>
      <c r="AH791" s="2552"/>
      <c r="AI791" s="2552"/>
      <c r="AJ791" s="2552"/>
      <c r="AK791" s="2553"/>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554"/>
      <c r="U792" s="2555"/>
      <c r="V792" s="2555"/>
      <c r="W792" s="2555"/>
      <c r="X792" s="2555"/>
      <c r="Y792" s="2556"/>
      <c r="Z792" s="2554"/>
      <c r="AA792" s="2555"/>
      <c r="AB792" s="2555"/>
      <c r="AC792" s="2555"/>
      <c r="AD792" s="2555"/>
      <c r="AE792" s="2556"/>
      <c r="AF792" s="2554"/>
      <c r="AG792" s="2555"/>
      <c r="AH792" s="2555"/>
      <c r="AI792" s="2555"/>
      <c r="AJ792" s="2555"/>
      <c r="AK792" s="2556"/>
      <c r="AL792" s="852"/>
      <c r="AM792" s="630"/>
      <c r="AO792" s="850"/>
      <c r="AP792" s="850"/>
      <c r="AQ792" s="850"/>
    </row>
    <row r="793" spans="1:43">
      <c r="A793" s="853" t="s">
        <v>765</v>
      </c>
      <c r="B793" s="2531" t="s">
        <v>1412</v>
      </c>
      <c r="C793" s="2531"/>
      <c r="D793" s="2531"/>
      <c r="E793" s="2531"/>
      <c r="F793" s="2531"/>
      <c r="G793" s="2531"/>
      <c r="H793" s="2531"/>
      <c r="I793" s="2531"/>
      <c r="J793" s="2531"/>
      <c r="K793" s="2531"/>
      <c r="L793" s="2531"/>
      <c r="M793" s="2531"/>
      <c r="N793" s="2531"/>
      <c r="O793" s="2531"/>
      <c r="P793" s="2531"/>
      <c r="Q793" s="2531"/>
      <c r="R793" s="2531"/>
      <c r="S793" s="2532"/>
      <c r="T793" s="2533">
        <f>AK56</f>
        <v>0</v>
      </c>
      <c r="U793" s="2534"/>
      <c r="V793" s="2534"/>
      <c r="W793" s="2534"/>
      <c r="X793" s="2534"/>
      <c r="Y793" s="2535"/>
      <c r="Z793" s="2536">
        <v>20</v>
      </c>
      <c r="AA793" s="2534"/>
      <c r="AB793" s="2534"/>
      <c r="AC793" s="2534"/>
      <c r="AD793" s="2534"/>
      <c r="AE793" s="2535"/>
      <c r="AF793" s="2500">
        <f>IF(T793&gt;Z793,Z793,T793)</f>
        <v>0</v>
      </c>
      <c r="AG793" s="2500"/>
      <c r="AH793" s="2500"/>
      <c r="AI793" s="2500"/>
      <c r="AJ793" s="2500"/>
      <c r="AK793" s="2500"/>
      <c r="AL793" s="852"/>
      <c r="AM793" s="630"/>
      <c r="AO793" s="850"/>
      <c r="AP793" s="850"/>
      <c r="AQ793" s="850"/>
    </row>
    <row r="794" spans="1:43">
      <c r="A794" s="853" t="s">
        <v>1650</v>
      </c>
      <c r="B794" s="2531" t="s">
        <v>1421</v>
      </c>
      <c r="C794" s="2531"/>
      <c r="D794" s="2531"/>
      <c r="E794" s="2531"/>
      <c r="F794" s="2531"/>
      <c r="G794" s="2531"/>
      <c r="H794" s="2531"/>
      <c r="I794" s="2531"/>
      <c r="J794" s="2531"/>
      <c r="K794" s="2531"/>
      <c r="L794" s="2531"/>
      <c r="M794" s="2531"/>
      <c r="N794" s="2531"/>
      <c r="O794" s="2531"/>
      <c r="P794" s="2531"/>
      <c r="Q794" s="2531"/>
      <c r="R794" s="2531"/>
      <c r="S794" s="2532"/>
      <c r="T794" s="2533">
        <f>AK78</f>
        <v>10</v>
      </c>
      <c r="U794" s="2534"/>
      <c r="V794" s="2534"/>
      <c r="W794" s="2534"/>
      <c r="X794" s="2534"/>
      <c r="Y794" s="2535"/>
      <c r="Z794" s="2536">
        <v>10</v>
      </c>
      <c r="AA794" s="2534"/>
      <c r="AB794" s="2534"/>
      <c r="AC794" s="2534"/>
      <c r="AD794" s="2534"/>
      <c r="AE794" s="2535"/>
      <c r="AF794" s="2500">
        <f>IF(T794&gt;Z794,Z794,T794)</f>
        <v>10</v>
      </c>
      <c r="AG794" s="2500"/>
      <c r="AH794" s="2500"/>
      <c r="AI794" s="2500"/>
      <c r="AJ794" s="2500"/>
      <c r="AK794" s="2500"/>
      <c r="AL794" s="852"/>
      <c r="AM794" s="630"/>
      <c r="AO794" s="850"/>
      <c r="AP794" s="850"/>
      <c r="AQ794" s="850"/>
    </row>
    <row r="795" spans="1:43">
      <c r="A795" s="853" t="s">
        <v>1659</v>
      </c>
      <c r="B795" s="2531" t="s">
        <v>1431</v>
      </c>
      <c r="C795" s="2531"/>
      <c r="D795" s="2531"/>
      <c r="E795" s="2531"/>
      <c r="F795" s="2531"/>
      <c r="G795" s="2531"/>
      <c r="H795" s="2531"/>
      <c r="I795" s="2531"/>
      <c r="J795" s="2531"/>
      <c r="K795" s="2531"/>
      <c r="L795" s="2531"/>
      <c r="M795" s="2531"/>
      <c r="N795" s="2531"/>
      <c r="O795" s="2531"/>
      <c r="P795" s="2531"/>
      <c r="Q795" s="2531"/>
      <c r="R795" s="2531"/>
      <c r="S795" s="2532"/>
      <c r="T795" s="2533">
        <f ca="1">AK103</f>
        <v>20</v>
      </c>
      <c r="U795" s="2534"/>
      <c r="V795" s="2534"/>
      <c r="W795" s="2534"/>
      <c r="X795" s="2534"/>
      <c r="Y795" s="2535"/>
      <c r="Z795" s="2536">
        <v>20</v>
      </c>
      <c r="AA795" s="2534"/>
      <c r="AB795" s="2534"/>
      <c r="AC795" s="2534"/>
      <c r="AD795" s="2534"/>
      <c r="AE795" s="2535"/>
      <c r="AF795" s="2500">
        <f ca="1">IF(T795&gt;Z795,Z795,T795)</f>
        <v>20</v>
      </c>
      <c r="AG795" s="2500"/>
      <c r="AH795" s="2500"/>
      <c r="AI795" s="2500"/>
      <c r="AJ795" s="2500"/>
      <c r="AK795" s="2500"/>
      <c r="AL795" s="852"/>
      <c r="AM795" s="630"/>
      <c r="AO795" s="850"/>
      <c r="AP795" s="850"/>
      <c r="AQ795" s="850"/>
    </row>
    <row r="796" spans="1:43">
      <c r="A796" s="853" t="s">
        <v>1681</v>
      </c>
      <c r="B796" s="2531" t="s">
        <v>1441</v>
      </c>
      <c r="C796" s="2531"/>
      <c r="D796" s="2531"/>
      <c r="E796" s="2531"/>
      <c r="F796" s="2531"/>
      <c r="G796" s="2531"/>
      <c r="H796" s="2531"/>
      <c r="I796" s="2531"/>
      <c r="J796" s="2531"/>
      <c r="K796" s="2531"/>
      <c r="L796" s="2531"/>
      <c r="M796" s="2531"/>
      <c r="N796" s="2531"/>
      <c r="O796" s="2531"/>
      <c r="P796" s="2531"/>
      <c r="Q796" s="2531"/>
      <c r="R796" s="2531"/>
      <c r="S796" s="2532"/>
      <c r="T796" s="2533">
        <f>AK137</f>
        <v>10</v>
      </c>
      <c r="U796" s="2534"/>
      <c r="V796" s="2534"/>
      <c r="W796" s="2534"/>
      <c r="X796" s="2534"/>
      <c r="Y796" s="2535"/>
      <c r="Z796" s="2536">
        <v>10</v>
      </c>
      <c r="AA796" s="2534"/>
      <c r="AB796" s="2534"/>
      <c r="AC796" s="2534"/>
      <c r="AD796" s="2534"/>
      <c r="AE796" s="2535"/>
      <c r="AF796" s="2500">
        <f>IF(T796&gt;Z796,Z796,T796)</f>
        <v>10</v>
      </c>
      <c r="AG796" s="2500"/>
      <c r="AH796" s="2500"/>
      <c r="AI796" s="2500"/>
      <c r="AJ796" s="2500"/>
      <c r="AK796" s="2500"/>
      <c r="AL796" s="852"/>
      <c r="AM796" s="630"/>
      <c r="AO796" s="850"/>
      <c r="AP796" s="850"/>
      <c r="AQ796" s="850"/>
    </row>
    <row r="797" spans="1:43">
      <c r="A797" s="854" t="s">
        <v>1682</v>
      </c>
      <c r="B797" s="2531" t="s">
        <v>1683</v>
      </c>
      <c r="C797" s="2531"/>
      <c r="D797" s="2531"/>
      <c r="E797" s="2531"/>
      <c r="F797" s="2531"/>
      <c r="G797" s="2531"/>
      <c r="H797" s="2531"/>
      <c r="I797" s="2531"/>
      <c r="J797" s="2531"/>
      <c r="K797" s="2531"/>
      <c r="L797" s="2531"/>
      <c r="M797" s="2531"/>
      <c r="N797" s="2531"/>
      <c r="O797" s="2531"/>
      <c r="P797" s="2531"/>
      <c r="Q797" s="2531"/>
      <c r="R797" s="2531"/>
      <c r="S797" s="2532"/>
      <c r="T797" s="2557">
        <f>SUM(T798:Y799)</f>
        <v>10</v>
      </c>
      <c r="U797" s="2557"/>
      <c r="V797" s="2557"/>
      <c r="W797" s="2557"/>
      <c r="X797" s="2557"/>
      <c r="Y797" s="2557"/>
      <c r="Z797" s="2500">
        <v>10</v>
      </c>
      <c r="AA797" s="2500"/>
      <c r="AB797" s="2500"/>
      <c r="AC797" s="2500"/>
      <c r="AD797" s="2500"/>
      <c r="AE797" s="2500"/>
      <c r="AF797" s="2500">
        <f>IF(T797&gt;Z797,Z797,T797)</f>
        <v>10</v>
      </c>
      <c r="AG797" s="2500"/>
      <c r="AH797" s="2500"/>
      <c r="AI797" s="2500"/>
      <c r="AJ797" s="2500"/>
      <c r="AK797" s="2500"/>
      <c r="AL797" s="852"/>
      <c r="AM797" s="630"/>
    </row>
    <row r="798" spans="1:43">
      <c r="A798" s="569"/>
      <c r="B798" s="635"/>
      <c r="C798" s="2558" t="s">
        <v>1684</v>
      </c>
      <c r="D798" s="2558"/>
      <c r="E798" s="2558"/>
      <c r="F798" s="2558"/>
      <c r="G798" s="2558"/>
      <c r="H798" s="2558"/>
      <c r="I798" s="2558"/>
      <c r="J798" s="2558"/>
      <c r="K798" s="2558"/>
      <c r="L798" s="2558"/>
      <c r="M798" s="2558"/>
      <c r="N798" s="2558"/>
      <c r="O798" s="2558"/>
      <c r="P798" s="2558"/>
      <c r="Q798" s="2558"/>
      <c r="R798" s="2558"/>
      <c r="S798" s="2559"/>
      <c r="T798" s="2433">
        <f>AJ155</f>
        <v>7</v>
      </c>
      <c r="U798" s="2433"/>
      <c r="V798" s="2433"/>
      <c r="W798" s="2433"/>
      <c r="X798" s="2433"/>
      <c r="Y798" s="2433"/>
      <c r="Z798" s="2434">
        <v>7</v>
      </c>
      <c r="AA798" s="2434"/>
      <c r="AB798" s="2434"/>
      <c r="AC798" s="2434"/>
      <c r="AD798" s="2434"/>
      <c r="AE798" s="2434"/>
      <c r="AF798" s="2560"/>
      <c r="AG798" s="2560"/>
      <c r="AH798" s="2560"/>
      <c r="AI798" s="2560"/>
      <c r="AJ798" s="2560"/>
      <c r="AK798" s="2560"/>
      <c r="AL798" s="852"/>
      <c r="AM798" s="630"/>
    </row>
    <row r="799" spans="1:43">
      <c r="A799" s="634"/>
      <c r="B799" s="635"/>
      <c r="C799" s="2558" t="s">
        <v>1685</v>
      </c>
      <c r="D799" s="2558"/>
      <c r="E799" s="2558"/>
      <c r="F799" s="2558"/>
      <c r="G799" s="2558"/>
      <c r="H799" s="2558"/>
      <c r="I799" s="2558"/>
      <c r="J799" s="2558"/>
      <c r="K799" s="2558"/>
      <c r="L799" s="2558"/>
      <c r="M799" s="2558"/>
      <c r="N799" s="2558"/>
      <c r="O799" s="2558"/>
      <c r="P799" s="2558"/>
      <c r="Q799" s="2558"/>
      <c r="R799" s="2558"/>
      <c r="S799" s="2559"/>
      <c r="T799" s="2433">
        <f>AJ169</f>
        <v>3</v>
      </c>
      <c r="U799" s="2433"/>
      <c r="V799" s="2433"/>
      <c r="W799" s="2433"/>
      <c r="X799" s="2433"/>
      <c r="Y799" s="2433"/>
      <c r="Z799" s="2434">
        <v>3</v>
      </c>
      <c r="AA799" s="2434"/>
      <c r="AB799" s="2434"/>
      <c r="AC799" s="2434"/>
      <c r="AD799" s="2434"/>
      <c r="AE799" s="2434"/>
      <c r="AF799" s="2560"/>
      <c r="AG799" s="2560"/>
      <c r="AH799" s="2560"/>
      <c r="AI799" s="2560"/>
      <c r="AJ799" s="2560"/>
      <c r="AK799" s="2560"/>
      <c r="AL799" s="852"/>
      <c r="AM799" s="630"/>
      <c r="AO799" s="584"/>
    </row>
    <row r="800" spans="1:43">
      <c r="A800" s="854" t="s">
        <v>1469</v>
      </c>
      <c r="B800" s="2531" t="s">
        <v>1686</v>
      </c>
      <c r="C800" s="2531"/>
      <c r="D800" s="2531"/>
      <c r="E800" s="2531"/>
      <c r="F800" s="2531"/>
      <c r="G800" s="2531"/>
      <c r="H800" s="2531"/>
      <c r="I800" s="2531"/>
      <c r="J800" s="2531"/>
      <c r="K800" s="2531"/>
      <c r="L800" s="2531"/>
      <c r="M800" s="2531"/>
      <c r="N800" s="2531"/>
      <c r="O800" s="2531"/>
      <c r="P800" s="2531"/>
      <c r="Q800" s="2531"/>
      <c r="R800" s="2531"/>
      <c r="S800" s="2532"/>
      <c r="T800" s="2557">
        <f>AK180</f>
        <v>10</v>
      </c>
      <c r="U800" s="2557"/>
      <c r="V800" s="2557"/>
      <c r="W800" s="2557"/>
      <c r="X800" s="2557"/>
      <c r="Y800" s="2557"/>
      <c r="Z800" s="2500">
        <v>10</v>
      </c>
      <c r="AA800" s="2500"/>
      <c r="AB800" s="2500"/>
      <c r="AC800" s="2500"/>
      <c r="AD800" s="2500"/>
      <c r="AE800" s="2500"/>
      <c r="AF800" s="2500">
        <f>IF(T800&gt;Z800,Z800,T800)</f>
        <v>10</v>
      </c>
      <c r="AG800" s="2500"/>
      <c r="AH800" s="2500"/>
      <c r="AI800" s="2500"/>
      <c r="AJ800" s="2500"/>
      <c r="AK800" s="2500"/>
      <c r="AL800" s="852"/>
      <c r="AM800" s="630"/>
    </row>
    <row r="801" spans="1:81">
      <c r="A801" s="853" t="s">
        <v>1478</v>
      </c>
      <c r="B801" s="2531" t="s">
        <v>1479</v>
      </c>
      <c r="C801" s="2531"/>
      <c r="D801" s="2531"/>
      <c r="E801" s="2531"/>
      <c r="F801" s="2531"/>
      <c r="G801" s="2531"/>
      <c r="H801" s="2531"/>
      <c r="I801" s="2531"/>
      <c r="J801" s="2531"/>
      <c r="K801" s="2531"/>
      <c r="L801" s="2531"/>
      <c r="M801" s="2531"/>
      <c r="N801" s="2531"/>
      <c r="O801" s="2531"/>
      <c r="P801" s="2531"/>
      <c r="Q801" s="2531"/>
      <c r="R801" s="2531"/>
      <c r="S801" s="2532"/>
      <c r="T801" s="2557">
        <f>AK262</f>
        <v>8</v>
      </c>
      <c r="U801" s="2557"/>
      <c r="V801" s="2557"/>
      <c r="W801" s="2557"/>
      <c r="X801" s="2557"/>
      <c r="Y801" s="2557"/>
      <c r="Z801" s="2536">
        <v>8</v>
      </c>
      <c r="AA801" s="2534"/>
      <c r="AB801" s="2534"/>
      <c r="AC801" s="2534"/>
      <c r="AD801" s="2534"/>
      <c r="AE801" s="2535"/>
      <c r="AF801" s="2500">
        <f>IF(T801&gt;Z801,Z801,T801)</f>
        <v>8</v>
      </c>
      <c r="AG801" s="2500"/>
      <c r="AH801" s="2500"/>
      <c r="AI801" s="2500"/>
      <c r="AJ801" s="2500"/>
      <c r="AK801" s="2500"/>
      <c r="AL801" s="852"/>
      <c r="AM801" s="630"/>
    </row>
    <row r="802" spans="1:81" s="568" customFormat="1" hidden="1">
      <c r="A802" s="854" t="s">
        <v>597</v>
      </c>
      <c r="B802" s="2531" t="s">
        <v>1687</v>
      </c>
      <c r="C802" s="2531"/>
      <c r="D802" s="2531"/>
      <c r="E802" s="2531"/>
      <c r="F802" s="2531"/>
      <c r="G802" s="2531"/>
      <c r="H802" s="2531"/>
      <c r="I802" s="2531"/>
      <c r="J802" s="2531"/>
      <c r="K802" s="2531"/>
      <c r="L802" s="2531"/>
      <c r="M802" s="2531"/>
      <c r="N802" s="2531"/>
      <c r="O802" s="2531"/>
      <c r="P802" s="2531"/>
      <c r="Q802" s="2531"/>
      <c r="R802" s="2531"/>
      <c r="S802" s="2532"/>
      <c r="T802" s="2557">
        <f>IF(AK524&gt;5,5,AK524)</f>
        <v>0</v>
      </c>
      <c r="U802" s="2557"/>
      <c r="V802" s="2557"/>
      <c r="W802" s="2557"/>
      <c r="X802" s="2557"/>
      <c r="Y802" s="2557"/>
      <c r="Z802" s="2500">
        <v>5</v>
      </c>
      <c r="AA802" s="2500"/>
      <c r="AB802" s="2500"/>
      <c r="AC802" s="2500"/>
      <c r="AD802" s="2500"/>
      <c r="AE802" s="2500"/>
      <c r="AF802" s="2500">
        <f>IF(T802&gt;Z802,5,T802)</f>
        <v>0</v>
      </c>
      <c r="AG802" s="2500"/>
      <c r="AH802" s="2500"/>
      <c r="AI802" s="2500"/>
      <c r="AJ802" s="2500"/>
      <c r="AK802" s="250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2531" t="s">
        <v>1688</v>
      </c>
      <c r="C803" s="2531"/>
      <c r="D803" s="2531"/>
      <c r="E803" s="2531"/>
      <c r="F803" s="2531"/>
      <c r="G803" s="2531"/>
      <c r="H803" s="2531"/>
      <c r="I803" s="2531"/>
      <c r="J803" s="2531"/>
      <c r="K803" s="2531"/>
      <c r="L803" s="2531"/>
      <c r="M803" s="2531"/>
      <c r="N803" s="2531"/>
      <c r="O803" s="2531"/>
      <c r="P803" s="2531"/>
      <c r="Q803" s="2531"/>
      <c r="R803" s="2531"/>
      <c r="S803" s="2532"/>
      <c r="T803" s="2557">
        <f>AK274</f>
        <v>10</v>
      </c>
      <c r="U803" s="2557"/>
      <c r="V803" s="2557"/>
      <c r="W803" s="2557"/>
      <c r="X803" s="2557"/>
      <c r="Y803" s="2557"/>
      <c r="Z803" s="2500">
        <v>10</v>
      </c>
      <c r="AA803" s="2500"/>
      <c r="AB803" s="2500"/>
      <c r="AC803" s="2500"/>
      <c r="AD803" s="2500"/>
      <c r="AE803" s="2500"/>
      <c r="AF803" s="2563">
        <f>IF(T803&gt;Z803,Z803,T803)</f>
        <v>10</v>
      </c>
      <c r="AG803" s="2564"/>
      <c r="AH803" s="2564"/>
      <c r="AI803" s="2564"/>
      <c r="AJ803" s="2564"/>
      <c r="AK803" s="256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2531" t="s">
        <v>1489</v>
      </c>
      <c r="C804" s="2531"/>
      <c r="D804" s="2531"/>
      <c r="E804" s="2531"/>
      <c r="F804" s="2531"/>
      <c r="G804" s="2531"/>
      <c r="H804" s="2531"/>
      <c r="I804" s="2531"/>
      <c r="J804" s="2531"/>
      <c r="K804" s="2531"/>
      <c r="L804" s="2531"/>
      <c r="M804" s="2531"/>
      <c r="N804" s="2531"/>
      <c r="O804" s="2531"/>
      <c r="P804" s="2531"/>
      <c r="Q804" s="2531"/>
      <c r="R804" s="2531"/>
      <c r="S804" s="2532"/>
      <c r="T804" s="2557">
        <f>AK327</f>
        <v>10</v>
      </c>
      <c r="U804" s="2557"/>
      <c r="V804" s="2557"/>
      <c r="W804" s="2557"/>
      <c r="X804" s="2557"/>
      <c r="Y804" s="2557"/>
      <c r="Z804" s="2563">
        <v>10</v>
      </c>
      <c r="AA804" s="2564"/>
      <c r="AB804" s="2564"/>
      <c r="AC804" s="2564"/>
      <c r="AD804" s="2564"/>
      <c r="AE804" s="2565"/>
      <c r="AF804" s="2563">
        <f>IF(T804&gt;Z804,Z804,T804)</f>
        <v>10</v>
      </c>
      <c r="AG804" s="2564"/>
      <c r="AH804" s="2564"/>
      <c r="AI804" s="2564"/>
      <c r="AJ804" s="2564"/>
      <c r="AK804" s="256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2433">
        <f>AK327</f>
        <v>10</v>
      </c>
      <c r="U805" s="2433"/>
      <c r="V805" s="2433"/>
      <c r="W805" s="2433"/>
      <c r="X805" s="2433"/>
      <c r="Y805" s="2433"/>
      <c r="Z805" s="2438">
        <v>20</v>
      </c>
      <c r="AA805" s="2439"/>
      <c r="AB805" s="2439"/>
      <c r="AC805" s="2439"/>
      <c r="AD805" s="2439"/>
      <c r="AE805" s="2440"/>
      <c r="AF805" s="2560"/>
      <c r="AG805" s="2560"/>
      <c r="AH805" s="2560"/>
      <c r="AI805" s="2560"/>
      <c r="AJ805" s="2560"/>
      <c r="AK805" s="256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2531" t="s">
        <v>855</v>
      </c>
      <c r="C806" s="2531"/>
      <c r="D806" s="2531"/>
      <c r="E806" s="2531"/>
      <c r="F806" s="2531"/>
      <c r="G806" s="2531"/>
      <c r="H806" s="2531"/>
      <c r="I806" s="2531"/>
      <c r="J806" s="2531"/>
      <c r="K806" s="2531"/>
      <c r="L806" s="2531"/>
      <c r="M806" s="2531"/>
      <c r="N806" s="2531"/>
      <c r="O806" s="2531"/>
      <c r="P806" s="2531"/>
      <c r="Q806" s="2531"/>
      <c r="R806" s="2531"/>
      <c r="S806" s="2532"/>
      <c r="T806" s="2557">
        <f>AK458</f>
        <v>10</v>
      </c>
      <c r="U806" s="2557"/>
      <c r="V806" s="2557"/>
      <c r="W806" s="2557"/>
      <c r="X806" s="2557"/>
      <c r="Y806" s="2557"/>
      <c r="Z806" s="2563">
        <v>10</v>
      </c>
      <c r="AA806" s="2564"/>
      <c r="AB806" s="2564"/>
      <c r="AC806" s="2564"/>
      <c r="AD806" s="2564"/>
      <c r="AE806" s="2565"/>
      <c r="AF806" s="2500">
        <f>IF(T806&gt;Z806,Z806,T806)</f>
        <v>10</v>
      </c>
      <c r="AG806" s="2500"/>
      <c r="AH806" s="2500"/>
      <c r="AI806" s="2500"/>
      <c r="AJ806" s="2500"/>
      <c r="AK806" s="250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2531" t="s">
        <v>1668</v>
      </c>
      <c r="C807" s="2531"/>
      <c r="D807" s="2531"/>
      <c r="E807" s="2531"/>
      <c r="F807" s="2531"/>
      <c r="G807" s="2531"/>
      <c r="H807" s="2531"/>
      <c r="I807" s="2531"/>
      <c r="J807" s="2531"/>
      <c r="K807" s="2531"/>
      <c r="L807" s="2531"/>
      <c r="M807" s="2531"/>
      <c r="N807" s="2531"/>
      <c r="O807" s="2531"/>
      <c r="P807" s="2531"/>
      <c r="Q807" s="2531"/>
      <c r="R807" s="2531"/>
      <c r="S807" s="2532"/>
      <c r="T807" s="2557">
        <f>AK548</f>
        <v>12</v>
      </c>
      <c r="U807" s="2557"/>
      <c r="V807" s="2557"/>
      <c r="W807" s="2557"/>
      <c r="X807" s="2557"/>
      <c r="Y807" s="2557"/>
      <c r="Z807" s="2563">
        <v>12</v>
      </c>
      <c r="AA807" s="2564"/>
      <c r="AB807" s="2564"/>
      <c r="AC807" s="2564"/>
      <c r="AD807" s="2564"/>
      <c r="AE807" s="2565"/>
      <c r="AF807" s="2500">
        <f>IF(T807&gt;Z807,Z807,T807)</f>
        <v>12</v>
      </c>
      <c r="AG807" s="2500"/>
      <c r="AH807" s="2500"/>
      <c r="AI807" s="2500"/>
      <c r="AJ807" s="2500"/>
      <c r="AK807" s="250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2329</v>
      </c>
      <c r="B808" s="2531" t="s">
        <v>1690</v>
      </c>
      <c r="C808" s="2531"/>
      <c r="D808" s="2531"/>
      <c r="E808" s="2531"/>
      <c r="F808" s="2531"/>
      <c r="G808" s="2531"/>
      <c r="H808" s="2531"/>
      <c r="I808" s="2531"/>
      <c r="J808" s="2531"/>
      <c r="K808" s="2531"/>
      <c r="L808" s="2531"/>
      <c r="M808" s="2531"/>
      <c r="N808" s="2531"/>
      <c r="O808" s="2531"/>
      <c r="P808" s="2531"/>
      <c r="Q808" s="2531"/>
      <c r="R808" s="2531"/>
      <c r="S808" s="2532"/>
      <c r="T808" s="2557">
        <f>AK783</f>
        <v>10</v>
      </c>
      <c r="U808" s="2557"/>
      <c r="V808" s="2557"/>
      <c r="W808" s="2557"/>
      <c r="X808" s="2557"/>
      <c r="Y808" s="2557"/>
      <c r="Z808" s="2563">
        <v>10</v>
      </c>
      <c r="AA808" s="2564"/>
      <c r="AB808" s="2564"/>
      <c r="AC808" s="2564"/>
      <c r="AD808" s="2564"/>
      <c r="AE808" s="2565"/>
      <c r="AF808" s="2500">
        <f>IF(T808&gt;Z808,Z808,T808)</f>
        <v>10</v>
      </c>
      <c r="AG808" s="2500"/>
      <c r="AH808" s="2500"/>
      <c r="AI808" s="2500"/>
      <c r="AJ808" s="2500"/>
      <c r="AK808" s="250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561" t="s">
        <v>1691</v>
      </c>
      <c r="B809" s="2531"/>
      <c r="C809" s="2531"/>
      <c r="D809" s="2531"/>
      <c r="E809" s="2531"/>
      <c r="F809" s="2531"/>
      <c r="G809" s="2531"/>
      <c r="H809" s="2531"/>
      <c r="I809" s="2531"/>
      <c r="J809" s="2531"/>
      <c r="K809" s="2531"/>
      <c r="L809" s="2531"/>
      <c r="M809" s="2531"/>
      <c r="N809" s="2531"/>
      <c r="O809" s="2531"/>
      <c r="P809" s="2531"/>
      <c r="Q809" s="2531"/>
      <c r="R809" s="2531"/>
      <c r="S809" s="2532"/>
      <c r="T809" s="2562"/>
      <c r="U809" s="2562"/>
      <c r="V809" s="2562"/>
      <c r="W809" s="2562"/>
      <c r="X809" s="2562"/>
      <c r="Y809" s="2562"/>
      <c r="Z809" s="2434" t="s">
        <v>1692</v>
      </c>
      <c r="AA809" s="2434"/>
      <c r="AB809" s="2434"/>
      <c r="AC809" s="2434"/>
      <c r="AD809" s="2434"/>
      <c r="AE809" s="2434"/>
      <c r="AF809" s="2563">
        <f>IF(T809&gt;0,T809,0)</f>
        <v>0</v>
      </c>
      <c r="AG809" s="2564"/>
      <c r="AH809" s="2564"/>
      <c r="AI809" s="2564"/>
      <c r="AJ809" s="2564"/>
      <c r="AK809" s="256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2566" t="s">
        <v>1693</v>
      </c>
      <c r="B810" s="2567"/>
      <c r="C810" s="2567"/>
      <c r="D810" s="2567"/>
      <c r="E810" s="2567"/>
      <c r="F810" s="2567"/>
      <c r="G810" s="2567"/>
      <c r="H810" s="2567"/>
      <c r="I810" s="2567"/>
      <c r="J810" s="2567"/>
      <c r="K810" s="2567"/>
      <c r="L810" s="2567"/>
      <c r="M810" s="2567"/>
      <c r="N810" s="2567"/>
      <c r="O810" s="2567"/>
      <c r="P810" s="2567"/>
      <c r="Q810" s="2567"/>
      <c r="R810" s="2567"/>
      <c r="S810" s="2567"/>
      <c r="T810" s="2567"/>
      <c r="U810" s="2567"/>
      <c r="V810" s="2567"/>
      <c r="W810" s="2567"/>
      <c r="X810" s="2567"/>
      <c r="Y810" s="2567"/>
      <c r="Z810" s="2567"/>
      <c r="AA810" s="2567"/>
      <c r="AB810" s="2567"/>
      <c r="AC810" s="2567"/>
      <c r="AD810" s="2567"/>
      <c r="AE810" s="2568"/>
      <c r="AF810" s="2572">
        <f ca="1">SUM(AF793:AK808)-AF809</f>
        <v>120</v>
      </c>
      <c r="AG810" s="2573"/>
      <c r="AH810" s="2573"/>
      <c r="AI810" s="2573"/>
      <c r="AJ810" s="2573"/>
      <c r="AK810" s="257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2569"/>
      <c r="B811" s="2570"/>
      <c r="C811" s="2570"/>
      <c r="D811" s="2570"/>
      <c r="E811" s="2570"/>
      <c r="F811" s="2570"/>
      <c r="G811" s="2570"/>
      <c r="H811" s="2570"/>
      <c r="I811" s="2570"/>
      <c r="J811" s="2570"/>
      <c r="K811" s="2570"/>
      <c r="L811" s="2570"/>
      <c r="M811" s="2570"/>
      <c r="N811" s="2570"/>
      <c r="O811" s="2570"/>
      <c r="P811" s="2570"/>
      <c r="Q811" s="2570"/>
      <c r="R811" s="2570"/>
      <c r="S811" s="2570"/>
      <c r="T811" s="2570"/>
      <c r="U811" s="2570"/>
      <c r="V811" s="2570"/>
      <c r="W811" s="2570"/>
      <c r="X811" s="2570"/>
      <c r="Y811" s="2570"/>
      <c r="Z811" s="2570"/>
      <c r="AA811" s="2570"/>
      <c r="AB811" s="2570"/>
      <c r="AC811" s="2570"/>
      <c r="AD811" s="2570"/>
      <c r="AE811" s="2571"/>
      <c r="AF811" s="2575"/>
      <c r="AG811" s="2576"/>
      <c r="AH811" s="2576"/>
      <c r="AI811" s="2576"/>
      <c r="AJ811" s="2576"/>
      <c r="AK811" s="257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CalHFA Addendum</vt:lpstr>
      <vt:lpstr>Points System</vt:lpstr>
      <vt:lpstr>Tie Breaker</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Gregory Nestler</cp:lastModifiedBy>
  <cp:lastPrinted>2022-06-02T00:41:49Z</cp:lastPrinted>
  <dcterms:created xsi:type="dcterms:W3CDTF">2007-12-27T18:26:28Z</dcterms:created>
  <dcterms:modified xsi:type="dcterms:W3CDTF">2024-08-27T03:54:59Z</dcterms:modified>
</cp:coreProperties>
</file>